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 d'emploi" sheetId="1" state="visible" r:id="rId3"/>
    <sheet name="Hypothèses" sheetId="2" state="visible" r:id="rId4"/>
    <sheet name="CA &amp; Marges" sheetId="3" state="visible" r:id="rId5"/>
    <sheet name="Compte de résultat" sheetId="4" state="visible" r:id="rId6"/>
    <sheet name="Plan de financement" sheetId="5" state="visible" r:id="rId7"/>
    <sheet name="Trésorerie" sheetId="6" state="visible" r:id="rId8"/>
    <sheet name="Synthèse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5" authorId="0">
      <text>
        <r>
          <rPr>
            <sz val="10"/>
            <rFont val="Arial"/>
            <family val="2"/>
          </rPr>
          <t xml:space="preserve">Compte-toi si tu coiffes. C'est le moteur du chiffre d'affaires.</t>
        </r>
      </text>
    </comment>
    <comment ref="C6" authorId="0">
      <text>
        <r>
          <rPr>
            <sz val="10"/>
            <rFont val="Arial"/>
            <family val="2"/>
          </rPr>
          <t xml:space="preserve">SMIC coiffure ~1 767 €/mois en 2026. Un coiffeur doit générer 3 à 5× son brut en CA.</t>
        </r>
      </text>
    </comment>
    <comment ref="C7" authorId="0">
      <text>
        <r>
          <rPr>
            <sz val="10"/>
            <rFont val="Arial"/>
            <family val="2"/>
          </rPr>
          <t xml:space="preserve">Règle du secteur : entre 3 et 5. En dessous de 3, le salon perd de l'argent.</t>
        </r>
      </text>
    </comment>
    <comment ref="C8" authorId="0">
      <text>
        <r>
          <rPr>
            <sz val="10"/>
            <rFont val="Arial"/>
            <family val="2"/>
          </rPr>
          <t xml:space="preserve">12 moins les congés. 11 est prudent.</t>
        </r>
      </text>
    </comment>
    <comment ref="C11" authorId="0">
      <text>
        <r>
          <rPr>
            <sz val="10"/>
            <rFont val="Arial"/>
            <family val="2"/>
          </rPr>
          <t xml:space="preserve">Prestations de service : coupe, brushing, technique.</t>
        </r>
      </text>
    </comment>
    <comment ref="C12" authorId="0">
      <text>
        <r>
          <rPr>
            <sz val="10"/>
            <rFont val="Arial"/>
            <family val="2"/>
          </rPr>
          <t xml:space="preserve">Colorations, mèches, soins techniques (fort coût matière).</t>
        </r>
      </text>
    </comment>
    <comment ref="C13" authorId="0">
      <text>
        <r>
          <rPr>
            <sz val="10"/>
            <rFont val="Arial"/>
            <family val="2"/>
          </rPr>
          <t xml:space="preserve">Shampooings, soins vendus au détail. Marge ~50 %.</t>
        </r>
      </text>
    </comment>
    <comment ref="C17" authorId="0">
      <text>
        <r>
          <rPr>
            <sz val="10"/>
            <rFont val="Arial"/>
            <family val="2"/>
          </rPr>
          <t xml:space="preserve">Produits consommés en coupe/brushing. Faible.</t>
        </r>
      </text>
    </comment>
    <comment ref="C18" authorId="0">
      <text>
        <r>
          <rPr>
            <sz val="10"/>
            <rFont val="Arial"/>
            <family val="2"/>
          </rPr>
          <t xml:space="preserve">Colorations : poste matière le plus lourd.</t>
        </r>
      </text>
    </comment>
    <comment ref="C19" authorId="0">
      <text>
        <r>
          <rPr>
            <sz val="10"/>
            <rFont val="Arial"/>
            <family val="2"/>
          </rPr>
          <t xml:space="preserve">Marge commerciale ~50 % sur la revente.</t>
        </r>
      </text>
    </comment>
    <comment ref="C22" authorId="0">
      <text>
        <r>
          <rPr>
            <sz val="10"/>
            <rFont val="Arial"/>
            <family val="2"/>
          </rPr>
          <t xml:space="preserve">Idéalement ≤ 10 % du CA HT. Loyer + emprunt ≤ 15 % du CA.</t>
        </r>
      </text>
    </comment>
    <comment ref="C24" authorId="0">
      <text>
        <r>
          <rPr>
            <sz val="10"/>
            <rFont val="Arial"/>
            <family val="2"/>
          </rPr>
          <t xml:space="preserve">RC pro, multirisque.</t>
        </r>
      </text>
    </comment>
    <comment ref="C26" authorId="0">
      <text>
        <r>
          <rPr>
            <sz val="10"/>
            <rFont val="Arial"/>
            <family val="2"/>
          </rPr>
          <t xml:space="preserve">Caisse certifiée NF525 obligatoire.</t>
        </r>
      </text>
    </comment>
    <comment ref="C27" authorId="0">
      <text>
        <r>
          <rPr>
            <sz val="10"/>
            <rFont val="Arial"/>
            <family val="2"/>
          </rPr>
          <t xml:space="preserve">3 à 5 % du CA la 1re année (Google, Instagram).</t>
        </r>
      </text>
    </comment>
    <comment ref="C28" authorId="0">
      <text>
        <r>
          <rPr>
            <sz val="10"/>
            <rFont val="Arial"/>
            <family val="2"/>
          </rPr>
          <t xml:space="preserve">Offre ComptaCool à partir de 79 €/mois.</t>
        </r>
      </text>
    </comment>
    <comment ref="C29" authorId="0">
      <text>
        <r>
          <rPr>
            <sz val="10"/>
            <rFont val="Arial"/>
            <family val="2"/>
          </rPr>
          <t xml:space="preserve">Royalties si enseigne. 0 pour un salon indépendant.</t>
        </r>
      </text>
    </comment>
    <comment ref="C33" authorId="0">
      <text>
        <r>
          <rPr>
            <sz val="10"/>
            <rFont val="Arial"/>
            <family val="2"/>
          </rPr>
          <t xml:space="preserve">≈ 42 % du brut. Salaire chargé = brut × 1,42.</t>
        </r>
      </text>
    </comment>
    <comment ref="C34" authorId="0">
      <text>
        <r>
          <rPr>
            <sz val="10"/>
            <rFont val="Arial"/>
            <family val="2"/>
          </rPr>
          <t xml:space="preserve">500 à 1 500 €/coiffeur/an.</t>
        </r>
      </text>
    </comment>
    <comment ref="C37" authorId="0">
      <text>
        <r>
          <rPr>
            <sz val="10"/>
            <rFont val="Arial"/>
            <family val="2"/>
          </rPr>
          <t xml:space="preserve">Reprise : 30 à 80 % du CA HT, ou 2,5-4× l'EBE retraité.</t>
        </r>
      </text>
    </comment>
    <comment ref="C38" authorId="0">
      <text>
        <r>
          <rPr>
            <sz val="10"/>
            <rFont val="Arial"/>
            <family val="2"/>
          </rPr>
          <t xml:space="preserve">Aménagement, plomberie bacs, électricité, déco.</t>
        </r>
      </text>
    </comment>
    <comment ref="C40" authorId="0">
      <text>
        <r>
          <rPr>
            <sz val="10"/>
            <rFont val="Arial"/>
            <family val="2"/>
          </rPr>
          <t xml:space="preserve">5 000 à 10 000 € selon la taille.</t>
        </r>
      </text>
    </comment>
    <comment ref="C42" authorId="0">
      <text>
        <r>
          <rPr>
            <sz val="10"/>
            <rFont val="Arial"/>
            <family val="2"/>
          </rPr>
          <t xml:space="preserve">Au moins 3 mois de charges fixes.</t>
        </r>
      </text>
    </comment>
    <comment ref="C45" authorId="0">
      <text>
        <r>
          <rPr>
            <sz val="10"/>
            <rFont val="Arial"/>
            <family val="2"/>
          </rPr>
          <t xml:space="preserve">Les banques attendent 20 à 30 % du budget total.</t>
        </r>
      </text>
    </comment>
    <comment ref="C46" authorId="0">
      <text>
        <r>
          <rPr>
            <sz val="10"/>
            <rFont val="Arial"/>
            <family val="2"/>
          </rPr>
          <t xml:space="preserve">Taux annuel du prêt professionnel.</t>
        </r>
      </text>
    </comment>
    <comment ref="C47" authorId="0">
      <text>
        <r>
          <rPr>
            <sz val="10"/>
            <rFont val="Arial"/>
            <family val="2"/>
          </rPr>
          <t xml:space="preserve">2 à 15 ans en général.</t>
        </r>
      </text>
    </comment>
    <comment ref="C50" authorId="0">
      <text>
        <r>
          <rPr>
            <sz val="10"/>
            <rFont val="Arial"/>
            <family val="2"/>
          </rPr>
          <t xml:space="preserve">Progression annuelle attendue du chiffre d'affaires.</t>
        </r>
      </text>
    </comment>
    <comment ref="C51" authorId="0">
      <text>
        <r>
          <rPr>
            <sz val="10"/>
            <rFont val="Arial"/>
            <family val="2"/>
          </rPr>
          <t xml:space="preserve">15 % jusqu'à 42 500 € de bénéfice, 25 % au-delà.</t>
        </r>
      </text>
    </comment>
    <comment ref="C52" authorId="0">
      <text>
        <r>
          <rPr>
            <sz val="10"/>
            <rFont val="Arial"/>
            <family val="2"/>
          </rPr>
          <t xml:space="preserve">Agencement et matériel amortis linéairement.</t>
        </r>
      </text>
    </comment>
    <comment ref="C53" authorId="0">
      <text>
        <r>
          <rPr>
            <sz val="10"/>
            <rFont val="Arial"/>
            <family val="2"/>
          </rPr>
          <t xml:space="preserve">Coiffure = 20 % (prestations de service et produits).</t>
        </r>
      </text>
    </comment>
  </commentList>
</comments>
</file>

<file path=xl/sharedStrings.xml><?xml version="1.0" encoding="utf-8"?>
<sst xmlns="http://schemas.openxmlformats.org/spreadsheetml/2006/main" count="194" uniqueCount="182">
  <si>
    <t xml:space="preserve">Business plan — Salon de coiffure</t>
  </si>
  <si>
    <t xml:space="preserve">Modèle gratuit ComptaCool · prévisionnel 3 ans, prêt à remplir</t>
  </si>
  <si>
    <t xml:space="preserve">Comment utiliser ce fichier</t>
  </si>
  <si>
    <t xml:space="preserve">1.  Règle d'or</t>
  </si>
  <si>
    <t xml:space="preserve">Tu ne remplis QUE les cellules en bleu. Tout le reste se calcule tout seul.</t>
  </si>
  <si>
    <t xml:space="preserve">2.  Un seul onglet à remplir</t>
  </si>
  <si>
    <t xml:space="preserve">L'onglet « Hypothèses » concentre 95 % de ta saisie.</t>
  </si>
  <si>
    <t xml:space="preserve">3.  Répartition mensuelle</t>
  </si>
  <si>
    <t xml:space="preserve">L'onglet « Trésorerie » : tu répartis ton activité sur 12 mois (total = 100 %).</t>
  </si>
  <si>
    <t xml:space="preserve">4.  Lecture du résultat</t>
  </si>
  <si>
    <t xml:space="preserve">L'onglet « Synthèse » affiche tes ratios et un verdict de viabilité automatique.</t>
  </si>
  <si>
    <t xml:space="preserve">5.  Teste des scénarios</t>
  </si>
  <si>
    <t xml:space="preserve">Duplique le fichier pour une version réaliste et une version prudente.</t>
  </si>
  <si>
    <t xml:space="preserve">Code couleur</t>
  </si>
  <si>
    <t xml:space="preserve">  Cellule bleue = à toi de saisir</t>
  </si>
  <si>
    <t xml:space="preserve">  Cellule noire = calcul automatique (ne pas toucher)</t>
  </si>
  <si>
    <t xml:space="preserve">  Cellule ambre = hypothèse clé à surveiller</t>
  </si>
  <si>
    <t xml:space="preserve">Les 7 onglets</t>
  </si>
  <si>
    <t xml:space="preserve">▪ Hypothèses</t>
  </si>
  <si>
    <t xml:space="preserve">Ton unique point de saisie : équipe, prix, coûts, financement.</t>
  </si>
  <si>
    <t xml:space="preserve">▪ CA &amp; Marges</t>
  </si>
  <si>
    <t xml:space="preserve">Chiffre d'affaires par prestation, marge brute, coût matière, TVA.</t>
  </si>
  <si>
    <t xml:space="preserve">▪ Compte de résultat</t>
  </si>
  <si>
    <t xml:space="preserve">Du CA au résultat net sur 3 ans (EBE, amortissements, IS).</t>
  </si>
  <si>
    <t xml:space="preserve">▪ Plan de financement</t>
  </si>
  <si>
    <t xml:space="preserve">Besoins vs ressources + échéancier d'emprunt.</t>
  </si>
  <si>
    <t xml:space="preserve">▪ Trésorerie</t>
  </si>
  <si>
    <t xml:space="preserve">Trésorerie cumulée mois par mois, point bas de l'année.</t>
  </si>
  <si>
    <t xml:space="preserve">▪ Synthèse</t>
  </si>
  <si>
    <t xml:space="preserve">Tableau de bord + verdict de viabilité automatique.</t>
  </si>
  <si>
    <t xml:space="preserve">Besoin d'aide pour fiabiliser tes chiffres ? ComptaCool accompagne les coiffeurs — expert.comptable@comptacool.fr</t>
  </si>
  <si>
    <t xml:space="preserve">Hypothèses</t>
  </si>
  <si>
    <t xml:space="preserve">Remplis uniquement les cellules bleues</t>
  </si>
  <si>
    <t xml:space="preserve">1 · Ton équipe et ta capacité</t>
  </si>
  <si>
    <t xml:space="preserve">Nombre de coiffeurs (toi inclus)</t>
  </si>
  <si>
    <t xml:space="preserve">Salaire brut mensuel moyen / coiffeur</t>
  </si>
  <si>
    <t xml:space="preserve">Coefficient CA / salaire brut visé</t>
  </si>
  <si>
    <t xml:space="preserve">Nombre de mois travaillés / an</t>
  </si>
  <si>
    <t xml:space="preserve">2 · Répartition du chiffre d'affaires</t>
  </si>
  <si>
    <t xml:space="preserve">Part coupe / coiffure (prestations)</t>
  </si>
  <si>
    <t xml:space="preserve">Part technique / couleur</t>
  </si>
  <si>
    <t xml:space="preserve">Part revente produits</t>
  </si>
  <si>
    <t xml:space="preserve">Contrôle (doit faire 100 %)</t>
  </si>
  <si>
    <t xml:space="preserve">3 · Coûts matières et marges</t>
  </si>
  <si>
    <t xml:space="preserve">Coût matière sur prestations (% du CA presta)</t>
  </si>
  <si>
    <t xml:space="preserve">Coût matière sur technique (% du CA technique)</t>
  </si>
  <si>
    <t xml:space="preserve">Coût d'achat des produits revendus (% du CA revente)</t>
  </si>
  <si>
    <t xml:space="preserve">4 · Charges externes annuelles</t>
  </si>
  <si>
    <t xml:space="preserve">Loyer + charges locatives / mois</t>
  </si>
  <si>
    <t xml:space="preserve">Énergie (eau, électricité) / mois</t>
  </si>
  <si>
    <t xml:space="preserve">Assurances / mois</t>
  </si>
  <si>
    <t xml:space="preserve">Produits d'entretien, blanchisserie / mois</t>
  </si>
  <si>
    <t xml:space="preserve">Logiciel caisse + réservation (Planity…) / mois</t>
  </si>
  <si>
    <t xml:space="preserve">Marketing / communication / mois</t>
  </si>
  <si>
    <t xml:space="preserve">Comptabilité / mois</t>
  </si>
  <si>
    <t xml:space="preserve">Redevance franchise / mois (0 si indépendant)</t>
  </si>
  <si>
    <t xml:space="preserve">Autres charges externes / mois</t>
  </si>
  <si>
    <t xml:space="preserve">5 · Masse salariale — charges patronales</t>
  </si>
  <si>
    <t xml:space="preserve">Taux de charges patronales</t>
  </si>
  <si>
    <t xml:space="preserve">Budget formation / coiffeur / an</t>
  </si>
  <si>
    <t xml:space="preserve">6 · Plan de financement (création ou reprise)</t>
  </si>
  <si>
    <t xml:space="preserve">Rachat du fonds de commerce (0 si création)</t>
  </si>
  <si>
    <t xml:space="preserve">Travaux et agencement</t>
  </si>
  <si>
    <t xml:space="preserve">Mobilier et matériel (bacs, fauteuils, sèche-cheveux)</t>
  </si>
  <si>
    <t xml:space="preserve">Stock initial de produits</t>
  </si>
  <si>
    <t xml:space="preserve">Dépôt de garantie (3 mois de loyer)</t>
  </si>
  <si>
    <t xml:space="preserve">Trésorerie de démarrage (BFR)</t>
  </si>
  <si>
    <t xml:space="preserve">Frais d'établissement (juridique, honoraires)</t>
  </si>
  <si>
    <t xml:space="preserve">Apport personnel</t>
  </si>
  <si>
    <t xml:space="preserve">Taux d'intérêt de l'emprunt</t>
  </si>
  <si>
    <t xml:space="preserve">Durée de l'emprunt (années)</t>
  </si>
  <si>
    <t xml:space="preserve">7 · Fiscalité et croissance</t>
  </si>
  <si>
    <t xml:space="preserve">Croissance du CA / an (An 2, An 3)</t>
  </si>
  <si>
    <t xml:space="preserve">Taux d'IS (impôt sur les sociétés)</t>
  </si>
  <si>
    <t xml:space="preserve">Durée d'amortissement du matériel (années)</t>
  </si>
  <si>
    <t xml:space="preserve">Taux de TVA (prestations et revente)</t>
  </si>
  <si>
    <t xml:space="preserve">Chiffre d'affaires &amp; marges</t>
  </si>
  <si>
    <t xml:space="preserve">Projection sur 3 ans — calcul automatique</t>
  </si>
  <si>
    <t xml:space="preserve">Chiffre d'affaires HT par activité</t>
  </si>
  <si>
    <t xml:space="preserve">An 1</t>
  </si>
  <si>
    <t xml:space="preserve">An 2</t>
  </si>
  <si>
    <t xml:space="preserve">An 3</t>
  </si>
  <si>
    <t xml:space="preserve">CA HT total</t>
  </si>
  <si>
    <t xml:space="preserve">  dont prestations (coupe, brushing)</t>
  </si>
  <si>
    <t xml:space="preserve">  dont technique / couleur</t>
  </si>
  <si>
    <t xml:space="preserve">  dont revente produits</t>
  </si>
  <si>
    <t xml:space="preserve">Coûts matières</t>
  </si>
  <si>
    <t xml:space="preserve">Matière sur prestations</t>
  </si>
  <si>
    <t xml:space="preserve">Matière sur technique / couleur</t>
  </si>
  <si>
    <t xml:space="preserve">Coût d'achat produits revendus</t>
  </si>
  <si>
    <t xml:space="preserve">Total coût matière</t>
  </si>
  <si>
    <t xml:space="preserve">Marge brute</t>
  </si>
  <si>
    <t xml:space="preserve">Taux de marge brute</t>
  </si>
  <si>
    <t xml:space="preserve">Masse salariale</t>
  </si>
  <si>
    <t xml:space="preserve">Salaires bruts + charges patronales</t>
  </si>
  <si>
    <t xml:space="preserve">Formation</t>
  </si>
  <si>
    <t xml:space="preserve">Masse salariale totale</t>
  </si>
  <si>
    <t xml:space="preserve">Ratio masse salariale / CA</t>
  </si>
  <si>
    <t xml:space="preserve">TVA estimée</t>
  </si>
  <si>
    <t xml:space="preserve">TVA collectée (sur CA HT)</t>
  </si>
  <si>
    <t xml:space="preserve">En coiffure, prestations et revente sont à 20 %. La TVA sur achats (produits, matériel) est déductible.</t>
  </si>
  <si>
    <t xml:space="preserve">Compte de résultat prévisionnel</t>
  </si>
  <si>
    <t xml:space="preserve">Du chiffre d'affaires au résultat net</t>
  </si>
  <si>
    <t xml:space="preserve">Chiffre d'affaires HT</t>
  </si>
  <si>
    <t xml:space="preserve">Coût matière</t>
  </si>
  <si>
    <t xml:space="preserve">Masse salariale (chargée + formation)</t>
  </si>
  <si>
    <t xml:space="preserve">Charges externes</t>
  </si>
  <si>
    <t xml:space="preserve">EBE (Excédent Brut d'Exploitation)</t>
  </si>
  <si>
    <t xml:space="preserve">Marge d'EBE</t>
  </si>
  <si>
    <t xml:space="preserve">Amortissements</t>
  </si>
  <si>
    <t xml:space="preserve">Intérêts d'emprunt</t>
  </si>
  <si>
    <t xml:space="preserve">Résultat avant impôt</t>
  </si>
  <si>
    <t xml:space="preserve">Impôt sur les sociétés</t>
  </si>
  <si>
    <t xml:space="preserve">RÉSULTAT NET</t>
  </si>
  <si>
    <t xml:space="preserve">Marge nette</t>
  </si>
  <si>
    <t xml:space="preserve">Plan de financement</t>
  </si>
  <si>
    <t xml:space="preserve">Besoins vs ressources + échéancier d'emprunt</t>
  </si>
  <si>
    <t xml:space="preserve">Besoins</t>
  </si>
  <si>
    <t xml:space="preserve">Ressources</t>
  </si>
  <si>
    <t xml:space="preserve">Rachat du fonds de commerce</t>
  </si>
  <si>
    <t xml:space="preserve">Emprunt bancaire</t>
  </si>
  <si>
    <t xml:space="preserve">Mobilier et matériel</t>
  </si>
  <si>
    <t xml:space="preserve">Stock initial</t>
  </si>
  <si>
    <t xml:space="preserve">Dépôt de garantie</t>
  </si>
  <si>
    <t xml:space="preserve">Frais d'établissement</t>
  </si>
  <si>
    <t xml:space="preserve">TOTAL BESOINS</t>
  </si>
  <si>
    <t xml:space="preserve">TOTAL RESSOURCES</t>
  </si>
  <si>
    <t xml:space="preserve">Équilibre (doit être 0)</t>
  </si>
  <si>
    <t xml:space="preserve">Échéancier d'emprunt</t>
  </si>
  <si>
    <t xml:space="preserve">Capital emprunté</t>
  </si>
  <si>
    <t xml:space="preserve">Taux annuel</t>
  </si>
  <si>
    <t xml:space="preserve">Durée (années)</t>
  </si>
  <si>
    <t xml:space="preserve">Annuité constante</t>
  </si>
  <si>
    <t xml:space="preserve">Année</t>
  </si>
  <si>
    <t xml:space="preserve">Capital dû début</t>
  </si>
  <si>
    <t xml:space="preserve">Intérêts</t>
  </si>
  <si>
    <t xml:space="preserve">Capital remboursé</t>
  </si>
  <si>
    <t xml:space="preserve">Capital dû fin</t>
  </si>
  <si>
    <t xml:space="preserve">Trésorerie — année 1</t>
  </si>
  <si>
    <t xml:space="preserve">Répartis ton activité sur 12 mois (total = 100 %)</t>
  </si>
  <si>
    <t xml:space="preserve">Mois</t>
  </si>
  <si>
    <t xml:space="preserve">Jan</t>
  </si>
  <si>
    <t xml:space="preserve">Fév</t>
  </si>
  <si>
    <t xml:space="preserve">Mar</t>
  </si>
  <si>
    <t xml:space="preserve">Avr</t>
  </si>
  <si>
    <t xml:space="preserve">Mai</t>
  </si>
  <si>
    <t xml:space="preserve">Jun</t>
  </si>
  <si>
    <t xml:space="preserve">Jui</t>
  </si>
  <si>
    <t xml:space="preserve">Aoû</t>
  </si>
  <si>
    <t xml:space="preserve">Sep</t>
  </si>
  <si>
    <t xml:space="preserve">Oct</t>
  </si>
  <si>
    <t xml:space="preserve">Nov</t>
  </si>
  <si>
    <t xml:space="preserve">Déc</t>
  </si>
  <si>
    <t xml:space="preserve">Total</t>
  </si>
  <si>
    <t xml:space="preserve">Poids d'activité</t>
  </si>
  <si>
    <t xml:space="preserve">Encaissements TTC</t>
  </si>
  <si>
    <t xml:space="preserve">Décaissements</t>
  </si>
  <si>
    <t xml:space="preserve">Flux net du mois</t>
  </si>
  <si>
    <t xml:space="preserve">Trésorerie cumulée</t>
  </si>
  <si>
    <t xml:space="preserve">Trésorerie minimale de l'année</t>
  </si>
  <si>
    <t xml:space="preserve">Synthèse &amp; verdict</t>
  </si>
  <si>
    <t xml:space="preserve">Ton tableau de bord — lecture immédiate</t>
  </si>
  <si>
    <t xml:space="preserve">Indicateurs clés (Année 1)</t>
  </si>
  <si>
    <t xml:space="preserve">VERDICT DE VIABILITÉ</t>
  </si>
  <si>
    <t xml:space="preserve">CA par coiffeur</t>
  </si>
  <si>
    <t xml:space="preserve">Loyer / CA</t>
  </si>
  <si>
    <t xml:space="preserve">EBE</t>
  </si>
  <si>
    <t xml:space="preserve">Résultat net</t>
  </si>
  <si>
    <t xml:space="preserve">Contrôle répartition CA</t>
  </si>
  <si>
    <t xml:space="preserve">Trésorerie minimale An 1</t>
  </si>
  <si>
    <t xml:space="preserve">Règle du CA par coiffeur</t>
  </si>
  <si>
    <t xml:space="preserve">Seuil de rentabilité</t>
  </si>
  <si>
    <t xml:space="preserve">Charges fixes annuelles (MS + charges externes)</t>
  </si>
  <si>
    <t xml:space="preserve">Taux de marge sur coûts variables</t>
  </si>
  <si>
    <t xml:space="preserve">Seuil de rentabilité (CA à atteindre)</t>
  </si>
  <si>
    <t xml:space="preserve">Marge de sécurité (CA − seuil)</t>
  </si>
  <si>
    <t xml:space="preserve">Un doute sur tes chiffres ?
ComptaCool fiabilise ton business plan.
expert.comptable@comptacool.fr</t>
  </si>
  <si>
    <t xml:space="preserve">Valorisation indicative du fonds</t>
  </si>
  <si>
    <t xml:space="preserve">Fourchette basse (30 % du CA HT)</t>
  </si>
  <si>
    <t xml:space="preserve">Fourchette haute (80 % du CA HT)</t>
  </si>
  <si>
    <t xml:space="preserve">Approche EBE (3,5× EBE)</t>
  </si>
  <si>
    <t xml:space="preserve">En coiffure : 30 à 80 % du CA HT, ou 2,5-4× l'EBE retraité. L'emplacement et le bail font l'écart.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</si>
</sst>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;\(#,##0\);\-"/>
    <numFmt numFmtId="166" formatCode="#,##0&quot; €&quot;;\(#,##0&quot;) €&quot;;\-"/>
    <numFmt numFmtId="167" formatCode="0.0\x"/>
    <numFmt numFmtId="168" formatCode="0.0%;\(0.0%\);\-"/>
    <numFmt numFmtId="169" formatCode="0%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3"/>
      <color rgb="FF6D3B6E"/>
      <name val="Arial"/>
      <family val="0"/>
      <charset val="1"/>
    </font>
    <font>
      <b val="true"/>
      <sz val="10"/>
      <color rgb="FF2A1E2B"/>
      <name val="Arial"/>
      <family val="0"/>
      <charset val="1"/>
    </font>
    <font>
      <sz val="10"/>
      <color rgb="FF2A1E2B"/>
      <name val="Arial"/>
      <family val="0"/>
      <charset val="1"/>
    </font>
    <font>
      <b val="true"/>
      <sz val="12"/>
      <color rgb="FF6D3B6E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8A6D1B"/>
      <name val="Arial"/>
      <family val="0"/>
      <charset val="1"/>
    </font>
    <font>
      <b val="true"/>
      <sz val="10"/>
      <color rgb="FF6D3B6E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2"/>
    </font>
    <font>
      <b val="true"/>
      <sz val="10"/>
      <color rgb="FF008000"/>
      <name val="Arial"/>
      <family val="0"/>
      <charset val="1"/>
    </font>
    <font>
      <i val="true"/>
      <sz val="10"/>
      <color rgb="FF2A1E2B"/>
      <name val="Arial"/>
      <family val="0"/>
      <charset val="1"/>
    </font>
    <font>
      <i val="true"/>
      <sz val="9"/>
      <color rgb="FF7A6A7C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2A1E2B"/>
      <name val="Arial"/>
      <family val="0"/>
      <charset val="1"/>
    </font>
    <font>
      <b val="true"/>
      <sz val="9"/>
      <color rgb="FF0000FF"/>
      <name val="Arial"/>
      <family val="0"/>
      <charset val="1"/>
    </font>
    <font>
      <b val="true"/>
      <sz val="9"/>
      <color rgb="FF2A1E2B"/>
      <name val="Arial"/>
      <family val="0"/>
      <charset val="1"/>
    </font>
    <font>
      <b val="true"/>
      <sz val="9"/>
      <color rgb="FF6D3B6E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color rgb="FF2A1E2B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6D3B6E"/>
        <bgColor rgb="FF993366"/>
      </patternFill>
    </fill>
    <fill>
      <patternFill patternType="solid">
        <fgColor rgb="FF9C5C9E"/>
        <bgColor rgb="FF7A6A7C"/>
      </patternFill>
    </fill>
    <fill>
      <patternFill patternType="solid">
        <fgColor rgb="FFF3E4EF"/>
        <bgColor rgb="FFF5F0F4"/>
      </patternFill>
    </fill>
    <fill>
      <patternFill patternType="solid">
        <fgColor rgb="FFEAF0FF"/>
        <bgColor rgb="FFF5F0F4"/>
      </patternFill>
    </fill>
    <fill>
      <patternFill patternType="solid">
        <fgColor rgb="FFF5F0F4"/>
        <bgColor rgb="FFEAF0FF"/>
      </patternFill>
    </fill>
    <fill>
      <patternFill patternType="solid">
        <fgColor rgb="FFFFF3CE"/>
        <bgColor rgb="FFF5F0F4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8CADA"/>
      </left>
      <right style="thin">
        <color rgb="FFD8CADA"/>
      </right>
      <top style="thin">
        <color rgb="FFD8CADA"/>
      </top>
      <bottom style="thin">
        <color rgb="FFD8CADA"/>
      </bottom>
      <diagonal/>
    </border>
    <border diagonalUp="false" diagonalDown="false">
      <left style="thin">
        <color rgb="FFD8CADA"/>
      </left>
      <right/>
      <top style="thin">
        <color rgb="FFD8CADA"/>
      </top>
      <bottom style="thin">
        <color rgb="FFD8CADA"/>
      </bottom>
      <diagonal/>
    </border>
    <border diagonalUp="false" diagonalDown="false">
      <left style="thin">
        <color rgb="FFD8CADA"/>
      </left>
      <right style="thin">
        <color rgb="FFD8CADA"/>
      </right>
      <top style="thin">
        <color rgb="FFD8CADA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3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3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6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6D1B"/>
      <rgbColor rgb="FF800080"/>
      <rgbColor rgb="FF008080"/>
      <rgbColor rgb="FFC0C0C0"/>
      <rgbColor rgb="FF9C5C9E"/>
      <rgbColor rgb="FF9999FF"/>
      <rgbColor rgb="FF6D3B6E"/>
      <rgbColor rgb="FFFFF3CE"/>
      <rgbColor rgb="FFEAF0FF"/>
      <rgbColor rgb="FF660066"/>
      <rgbColor rgb="FFFF8080"/>
      <rgbColor rgb="FF0066CC"/>
      <rgbColor rgb="FFD8CA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0F4"/>
      <rgbColor rgb="FFF3E4EF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A6A7C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A1E2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58"/>
    <col collapsed="false" customWidth="true" hidden="false" outlineLevel="0" max="3" min="3" style="1" width="30"/>
    <col collapsed="false" customWidth="true" hidden="false" outlineLevel="0" max="7" min="4" style="1" width="16"/>
    <col collapsed="false" customWidth="true" hidden="false" outlineLevel="0" max="8" min="8" style="1" width="6"/>
  </cols>
  <sheetData>
    <row r="1" customFormat="false" ht="33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9.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4" customFormat="false" ht="15.75" hidden="false" customHeight="true" outlineLevel="0" collapsed="false">
      <c r="B4" s="4" t="s">
        <v>2</v>
      </c>
    </row>
    <row r="6" customFormat="false" ht="30" hidden="false" customHeight="true" outlineLevel="0" collapsed="false">
      <c r="B6" s="5" t="s">
        <v>3</v>
      </c>
      <c r="C6" s="6" t="s">
        <v>4</v>
      </c>
      <c r="D6" s="6"/>
      <c r="E6" s="6"/>
      <c r="F6" s="6"/>
      <c r="G6" s="6"/>
    </row>
    <row r="7" customFormat="false" ht="30" hidden="false" customHeight="true" outlineLevel="0" collapsed="false">
      <c r="B7" s="5" t="s">
        <v>5</v>
      </c>
      <c r="C7" s="6" t="s">
        <v>6</v>
      </c>
      <c r="D7" s="6"/>
      <c r="E7" s="6"/>
      <c r="F7" s="6"/>
      <c r="G7" s="6"/>
    </row>
    <row r="8" customFormat="false" ht="30" hidden="false" customHeight="true" outlineLevel="0" collapsed="false">
      <c r="B8" s="5" t="s">
        <v>7</v>
      </c>
      <c r="C8" s="6" t="s">
        <v>8</v>
      </c>
      <c r="D8" s="6"/>
      <c r="E8" s="6"/>
      <c r="F8" s="6"/>
      <c r="G8" s="6"/>
    </row>
    <row r="9" customFormat="false" ht="30" hidden="false" customHeight="true" outlineLevel="0" collapsed="false">
      <c r="B9" s="5" t="s">
        <v>9</v>
      </c>
      <c r="C9" s="6" t="s">
        <v>10</v>
      </c>
      <c r="D9" s="6"/>
      <c r="E9" s="6"/>
      <c r="F9" s="6"/>
      <c r="G9" s="6"/>
    </row>
    <row r="10" customFormat="false" ht="30" hidden="false" customHeight="true" outlineLevel="0" collapsed="false">
      <c r="B10" s="5" t="s">
        <v>11</v>
      </c>
      <c r="C10" s="6" t="s">
        <v>12</v>
      </c>
      <c r="D10" s="6"/>
      <c r="E10" s="6"/>
      <c r="F10" s="6"/>
      <c r="G10" s="6"/>
    </row>
    <row r="12" customFormat="false" ht="15" hidden="false" customHeight="true" outlineLevel="0" collapsed="false">
      <c r="B12" s="7" t="s">
        <v>13</v>
      </c>
    </row>
    <row r="14" customFormat="false" ht="15" hidden="false" customHeight="true" outlineLevel="0" collapsed="false">
      <c r="B14" s="8" t="s">
        <v>14</v>
      </c>
      <c r="C14" s="8"/>
    </row>
    <row r="15" customFormat="false" ht="15" hidden="false" customHeight="true" outlineLevel="0" collapsed="false">
      <c r="B15" s="9" t="s">
        <v>15</v>
      </c>
      <c r="C15" s="9"/>
    </row>
    <row r="16" customFormat="false" ht="15" hidden="false" customHeight="true" outlineLevel="0" collapsed="false">
      <c r="B16" s="10" t="s">
        <v>16</v>
      </c>
      <c r="C16" s="10"/>
    </row>
    <row r="18" customFormat="false" ht="15" hidden="false" customHeight="true" outlineLevel="0" collapsed="false">
      <c r="B18" s="7" t="s">
        <v>17</v>
      </c>
    </row>
    <row r="20" customFormat="false" ht="15" hidden="false" customHeight="true" outlineLevel="0" collapsed="false">
      <c r="B20" s="11" t="s">
        <v>18</v>
      </c>
      <c r="C20" s="12" t="s">
        <v>19</v>
      </c>
      <c r="D20" s="12"/>
      <c r="E20" s="12"/>
      <c r="F20" s="12"/>
      <c r="G20" s="12"/>
    </row>
    <row r="21" customFormat="false" ht="15" hidden="false" customHeight="true" outlineLevel="0" collapsed="false">
      <c r="B21" s="11" t="s">
        <v>20</v>
      </c>
      <c r="C21" s="12" t="s">
        <v>21</v>
      </c>
      <c r="D21" s="12"/>
      <c r="E21" s="12"/>
      <c r="F21" s="12"/>
      <c r="G21" s="12"/>
    </row>
    <row r="22" customFormat="false" ht="15" hidden="false" customHeight="true" outlineLevel="0" collapsed="false">
      <c r="B22" s="11" t="s">
        <v>22</v>
      </c>
      <c r="C22" s="12" t="s">
        <v>23</v>
      </c>
      <c r="D22" s="12"/>
      <c r="E22" s="12"/>
      <c r="F22" s="12"/>
      <c r="G22" s="12"/>
    </row>
    <row r="23" customFormat="false" ht="15" hidden="false" customHeight="true" outlineLevel="0" collapsed="false">
      <c r="B23" s="11" t="s">
        <v>24</v>
      </c>
      <c r="C23" s="12" t="s">
        <v>25</v>
      </c>
      <c r="D23" s="12"/>
      <c r="E23" s="12"/>
      <c r="F23" s="12"/>
      <c r="G23" s="12"/>
    </row>
    <row r="24" customFormat="false" ht="15" hidden="false" customHeight="true" outlineLevel="0" collapsed="false">
      <c r="B24" s="11" t="s">
        <v>26</v>
      </c>
      <c r="C24" s="12" t="s">
        <v>27</v>
      </c>
      <c r="D24" s="12"/>
      <c r="E24" s="12"/>
      <c r="F24" s="12"/>
      <c r="G24" s="12"/>
    </row>
    <row r="25" customFormat="false" ht="15" hidden="false" customHeight="true" outlineLevel="0" collapsed="false">
      <c r="B25" s="11" t="s">
        <v>28</v>
      </c>
      <c r="C25" s="12" t="s">
        <v>29</v>
      </c>
      <c r="D25" s="12"/>
      <c r="E25" s="12"/>
      <c r="F25" s="12"/>
      <c r="G25" s="12"/>
    </row>
    <row r="28" customFormat="false" ht="30" hidden="false" customHeight="true" outlineLevel="0" collapsed="false">
      <c r="B28" s="13" t="s">
        <v>30</v>
      </c>
      <c r="C28" s="13"/>
      <c r="D28" s="13"/>
      <c r="E28" s="13"/>
      <c r="F28" s="13"/>
      <c r="G28" s="13"/>
    </row>
  </sheetData>
  <mergeCells count="17">
    <mergeCell ref="A1:H1"/>
    <mergeCell ref="A2:H2"/>
    <mergeCell ref="C6:G6"/>
    <mergeCell ref="C7:G7"/>
    <mergeCell ref="C8:G8"/>
    <mergeCell ref="C9:G9"/>
    <mergeCell ref="C10:G10"/>
    <mergeCell ref="B14:C14"/>
    <mergeCell ref="B15:C15"/>
    <mergeCell ref="B16:C16"/>
    <mergeCell ref="C20:G20"/>
    <mergeCell ref="C21:G21"/>
    <mergeCell ref="C22:G22"/>
    <mergeCell ref="C23:G23"/>
    <mergeCell ref="C24:G24"/>
    <mergeCell ref="C25:G25"/>
    <mergeCell ref="B28:G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2"/>
    <col collapsed="false" customWidth="true" hidden="false" outlineLevel="0" max="3" min="3" style="1" width="18"/>
    <col collapsed="false" customWidth="true" hidden="false" outlineLevel="0" max="4" min="4" style="1" width="14"/>
    <col collapsed="false" customWidth="true" hidden="false" outlineLevel="0" max="5" min="5" style="1" width="34"/>
    <col collapsed="false" customWidth="true" hidden="false" outlineLevel="0" max="6" min="6" style="1" width="6"/>
  </cols>
  <sheetData>
    <row r="1" customFormat="false" ht="33.75" hidden="false" customHeight="true" outlineLevel="0" collapsed="false">
      <c r="A1" s="2" t="s">
        <v>31</v>
      </c>
      <c r="B1" s="2"/>
      <c r="C1" s="2"/>
      <c r="D1" s="2"/>
      <c r="E1" s="2"/>
    </row>
    <row r="2" customFormat="false" ht="19.5" hidden="false" customHeight="true" outlineLevel="0" collapsed="false">
      <c r="A2" s="3" t="s">
        <v>32</v>
      </c>
      <c r="B2" s="3"/>
      <c r="C2" s="3"/>
      <c r="D2" s="3"/>
      <c r="E2" s="3"/>
    </row>
    <row r="4" customFormat="false" ht="21.75" hidden="false" customHeight="true" outlineLevel="0" collapsed="false">
      <c r="A4" s="14" t="s">
        <v>33</v>
      </c>
      <c r="B4" s="14"/>
      <c r="C4" s="14"/>
      <c r="D4" s="14"/>
      <c r="E4" s="14"/>
    </row>
    <row r="5" customFormat="false" ht="15" hidden="false" customHeight="true" outlineLevel="0" collapsed="false">
      <c r="B5" s="15" t="s">
        <v>34</v>
      </c>
      <c r="C5" s="16" t="n">
        <v>2</v>
      </c>
    </row>
    <row r="6" customFormat="false" ht="15" hidden="false" customHeight="true" outlineLevel="0" collapsed="false">
      <c r="B6" s="15" t="s">
        <v>35</v>
      </c>
      <c r="C6" s="17" t="n">
        <v>1900</v>
      </c>
    </row>
    <row r="7" customFormat="false" ht="15" hidden="false" customHeight="true" outlineLevel="0" collapsed="false">
      <c r="B7" s="15" t="s">
        <v>36</v>
      </c>
      <c r="C7" s="18" t="n">
        <v>4</v>
      </c>
    </row>
    <row r="8" customFormat="false" ht="15" hidden="false" customHeight="true" outlineLevel="0" collapsed="false">
      <c r="B8" s="15" t="s">
        <v>37</v>
      </c>
      <c r="C8" s="16" t="n">
        <v>11</v>
      </c>
    </row>
    <row r="10" customFormat="false" ht="21.75" hidden="false" customHeight="true" outlineLevel="0" collapsed="false">
      <c r="A10" s="14" t="s">
        <v>38</v>
      </c>
      <c r="B10" s="14"/>
      <c r="C10" s="14"/>
      <c r="D10" s="14"/>
      <c r="E10" s="14"/>
    </row>
    <row r="11" customFormat="false" ht="15" hidden="false" customHeight="true" outlineLevel="0" collapsed="false">
      <c r="B11" s="15" t="s">
        <v>39</v>
      </c>
      <c r="C11" s="19" t="n">
        <v>0.7</v>
      </c>
    </row>
    <row r="12" customFormat="false" ht="15" hidden="false" customHeight="true" outlineLevel="0" collapsed="false">
      <c r="B12" s="15" t="s">
        <v>40</v>
      </c>
      <c r="C12" s="19" t="n">
        <v>0.22</v>
      </c>
    </row>
    <row r="13" customFormat="false" ht="15" hidden="false" customHeight="true" outlineLevel="0" collapsed="false">
      <c r="B13" s="15" t="s">
        <v>41</v>
      </c>
      <c r="C13" s="19" t="n">
        <v>0.08</v>
      </c>
    </row>
    <row r="14" customFormat="false" ht="15" hidden="false" customHeight="true" outlineLevel="0" collapsed="false">
      <c r="B14" s="20" t="s">
        <v>42</v>
      </c>
      <c r="C14" s="21" t="n">
        <f aca="false">C11+C12+C13</f>
        <v>1</v>
      </c>
    </row>
    <row r="16" customFormat="false" ht="21.75" hidden="false" customHeight="true" outlineLevel="0" collapsed="false">
      <c r="A16" s="14" t="s">
        <v>43</v>
      </c>
      <c r="B16" s="14"/>
      <c r="C16" s="14"/>
      <c r="D16" s="14"/>
      <c r="E16" s="14"/>
    </row>
    <row r="17" customFormat="false" ht="15" hidden="false" customHeight="true" outlineLevel="0" collapsed="false">
      <c r="B17" s="15" t="s">
        <v>44</v>
      </c>
      <c r="C17" s="19" t="n">
        <v>0.04</v>
      </c>
    </row>
    <row r="18" customFormat="false" ht="15" hidden="false" customHeight="true" outlineLevel="0" collapsed="false">
      <c r="B18" s="15" t="s">
        <v>45</v>
      </c>
      <c r="C18" s="22" t="n">
        <v>0.15</v>
      </c>
    </row>
    <row r="19" customFormat="false" ht="15" hidden="false" customHeight="true" outlineLevel="0" collapsed="false">
      <c r="B19" s="15" t="s">
        <v>46</v>
      </c>
      <c r="C19" s="19" t="n">
        <v>0.5</v>
      </c>
    </row>
    <row r="21" customFormat="false" ht="21.75" hidden="false" customHeight="true" outlineLevel="0" collapsed="false">
      <c r="A21" s="14" t="s">
        <v>47</v>
      </c>
      <c r="B21" s="14"/>
      <c r="C21" s="14"/>
      <c r="D21" s="14"/>
      <c r="E21" s="14"/>
    </row>
    <row r="22" customFormat="false" ht="15" hidden="false" customHeight="true" outlineLevel="0" collapsed="false">
      <c r="B22" s="15" t="s">
        <v>48</v>
      </c>
      <c r="C22" s="17" t="n">
        <v>1400</v>
      </c>
    </row>
    <row r="23" customFormat="false" ht="15" hidden="false" customHeight="true" outlineLevel="0" collapsed="false">
      <c r="B23" s="15" t="s">
        <v>49</v>
      </c>
      <c r="C23" s="23" t="n">
        <v>350</v>
      </c>
    </row>
    <row r="24" customFormat="false" ht="15" hidden="false" customHeight="true" outlineLevel="0" collapsed="false">
      <c r="B24" s="15" t="s">
        <v>50</v>
      </c>
      <c r="C24" s="23" t="n">
        <v>120</v>
      </c>
    </row>
    <row r="25" customFormat="false" ht="15" hidden="false" customHeight="true" outlineLevel="0" collapsed="false">
      <c r="B25" s="15" t="s">
        <v>51</v>
      </c>
      <c r="C25" s="23" t="n">
        <v>150</v>
      </c>
    </row>
    <row r="26" customFormat="false" ht="15" hidden="false" customHeight="true" outlineLevel="0" collapsed="false">
      <c r="B26" s="15" t="s">
        <v>52</v>
      </c>
      <c r="C26" s="23" t="n">
        <v>90</v>
      </c>
    </row>
    <row r="27" customFormat="false" ht="15" hidden="false" customHeight="true" outlineLevel="0" collapsed="false">
      <c r="B27" s="15" t="s">
        <v>53</v>
      </c>
      <c r="C27" s="23" t="n">
        <v>180</v>
      </c>
    </row>
    <row r="28" customFormat="false" ht="15" hidden="false" customHeight="true" outlineLevel="0" collapsed="false">
      <c r="B28" s="15" t="s">
        <v>54</v>
      </c>
      <c r="C28" s="23" t="n">
        <v>90</v>
      </c>
    </row>
    <row r="29" customFormat="false" ht="15" hidden="false" customHeight="true" outlineLevel="0" collapsed="false">
      <c r="B29" s="15" t="s">
        <v>55</v>
      </c>
      <c r="C29" s="23" t="n">
        <v>0</v>
      </c>
    </row>
    <row r="30" customFormat="false" ht="15" hidden="false" customHeight="true" outlineLevel="0" collapsed="false">
      <c r="B30" s="15" t="s">
        <v>56</v>
      </c>
      <c r="C30" s="23" t="n">
        <v>120</v>
      </c>
    </row>
    <row r="32" customFormat="false" ht="21.75" hidden="false" customHeight="true" outlineLevel="0" collapsed="false">
      <c r="A32" s="14" t="s">
        <v>57</v>
      </c>
      <c r="B32" s="14"/>
      <c r="C32" s="14"/>
      <c r="D32" s="14"/>
      <c r="E32" s="14"/>
    </row>
    <row r="33" customFormat="false" ht="15" hidden="false" customHeight="true" outlineLevel="0" collapsed="false">
      <c r="B33" s="15" t="s">
        <v>58</v>
      </c>
      <c r="C33" s="22" t="n">
        <v>0.42</v>
      </c>
    </row>
    <row r="34" customFormat="false" ht="15" hidden="false" customHeight="true" outlineLevel="0" collapsed="false">
      <c r="B34" s="15" t="s">
        <v>59</v>
      </c>
      <c r="C34" s="23" t="n">
        <v>800</v>
      </c>
    </row>
    <row r="36" customFormat="false" ht="21.75" hidden="false" customHeight="true" outlineLevel="0" collapsed="false">
      <c r="A36" s="14" t="s">
        <v>60</v>
      </c>
      <c r="B36" s="14"/>
      <c r="C36" s="14"/>
      <c r="D36" s="14"/>
      <c r="E36" s="14"/>
    </row>
    <row r="37" customFormat="false" ht="15" hidden="false" customHeight="true" outlineLevel="0" collapsed="false">
      <c r="B37" s="15" t="s">
        <v>61</v>
      </c>
      <c r="C37" s="17" t="n">
        <v>60000</v>
      </c>
    </row>
    <row r="38" customFormat="false" ht="15" hidden="false" customHeight="true" outlineLevel="0" collapsed="false">
      <c r="B38" s="15" t="s">
        <v>62</v>
      </c>
      <c r="C38" s="23" t="n">
        <v>25000</v>
      </c>
    </row>
    <row r="39" customFormat="false" ht="15" hidden="false" customHeight="true" outlineLevel="0" collapsed="false">
      <c r="B39" s="15" t="s">
        <v>63</v>
      </c>
      <c r="C39" s="23" t="n">
        <v>18000</v>
      </c>
    </row>
    <row r="40" customFormat="false" ht="15" hidden="false" customHeight="true" outlineLevel="0" collapsed="false">
      <c r="B40" s="15" t="s">
        <v>64</v>
      </c>
      <c r="C40" s="23" t="n">
        <v>6000</v>
      </c>
    </row>
    <row r="41" customFormat="false" ht="15" hidden="false" customHeight="true" outlineLevel="0" collapsed="false">
      <c r="B41" s="15" t="s">
        <v>65</v>
      </c>
      <c r="C41" s="23" t="n">
        <v>4200</v>
      </c>
    </row>
    <row r="42" customFormat="false" ht="15" hidden="false" customHeight="true" outlineLevel="0" collapsed="false">
      <c r="B42" s="15" t="s">
        <v>66</v>
      </c>
      <c r="C42" s="17" t="n">
        <v>15000</v>
      </c>
    </row>
    <row r="43" customFormat="false" ht="15" hidden="false" customHeight="true" outlineLevel="0" collapsed="false">
      <c r="B43" s="15" t="s">
        <v>67</v>
      </c>
      <c r="C43" s="23" t="n">
        <v>4000</v>
      </c>
    </row>
    <row r="45" customFormat="false" ht="15" hidden="false" customHeight="true" outlineLevel="0" collapsed="false">
      <c r="B45" s="15" t="s">
        <v>68</v>
      </c>
      <c r="C45" s="17" t="n">
        <v>40000</v>
      </c>
    </row>
    <row r="46" customFormat="false" ht="15" hidden="false" customHeight="true" outlineLevel="0" collapsed="false">
      <c r="B46" s="15" t="s">
        <v>69</v>
      </c>
      <c r="C46" s="19" t="n">
        <v>0.045</v>
      </c>
    </row>
    <row r="47" customFormat="false" ht="15" hidden="false" customHeight="true" outlineLevel="0" collapsed="false">
      <c r="B47" s="15" t="s">
        <v>70</v>
      </c>
      <c r="C47" s="16" t="n">
        <v>7</v>
      </c>
    </row>
    <row r="49" customFormat="false" ht="21.75" hidden="false" customHeight="true" outlineLevel="0" collapsed="false">
      <c r="A49" s="14" t="s">
        <v>71</v>
      </c>
      <c r="B49" s="14"/>
      <c r="C49" s="14"/>
      <c r="D49" s="14"/>
      <c r="E49" s="14"/>
    </row>
    <row r="50" customFormat="false" ht="15" hidden="false" customHeight="true" outlineLevel="0" collapsed="false">
      <c r="B50" s="15" t="s">
        <v>72</v>
      </c>
      <c r="C50" s="19" t="n">
        <v>0.06</v>
      </c>
    </row>
    <row r="51" customFormat="false" ht="15" hidden="false" customHeight="true" outlineLevel="0" collapsed="false">
      <c r="B51" s="15" t="s">
        <v>73</v>
      </c>
      <c r="C51" s="19" t="n">
        <v>0.15</v>
      </c>
    </row>
    <row r="52" customFormat="false" ht="15" hidden="false" customHeight="true" outlineLevel="0" collapsed="false">
      <c r="B52" s="15" t="s">
        <v>74</v>
      </c>
      <c r="C52" s="16" t="n">
        <v>7</v>
      </c>
    </row>
    <row r="53" customFormat="false" ht="15" hidden="false" customHeight="true" outlineLevel="0" collapsed="false">
      <c r="B53" s="15" t="s">
        <v>75</v>
      </c>
      <c r="C53" s="19" t="n">
        <v>0.2</v>
      </c>
    </row>
  </sheetData>
  <mergeCells count="9">
    <mergeCell ref="A1:E1"/>
    <mergeCell ref="A2:E2"/>
    <mergeCell ref="A4:E4"/>
    <mergeCell ref="A10:E10"/>
    <mergeCell ref="A16:E16"/>
    <mergeCell ref="A21:E21"/>
    <mergeCell ref="A32:E32"/>
    <mergeCell ref="A36:E36"/>
    <mergeCell ref="A49:E4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0"/>
    <col collapsed="false" customWidth="true" hidden="false" outlineLevel="0" max="3" min="3" style="1" width="6"/>
    <col collapsed="false" customWidth="true" hidden="false" outlineLevel="0" max="6" min="4" style="1" width="16"/>
    <col collapsed="false" customWidth="true" hidden="false" outlineLevel="0" max="7" min="7" style="1" width="6"/>
  </cols>
  <sheetData>
    <row r="1" customFormat="false" ht="33.75" hidden="false" customHeight="true" outlineLevel="0" collapsed="false">
      <c r="A1" s="2" t="s">
        <v>76</v>
      </c>
      <c r="B1" s="2"/>
      <c r="C1" s="2"/>
      <c r="D1" s="2"/>
      <c r="E1" s="2"/>
      <c r="F1" s="2"/>
    </row>
    <row r="2" customFormat="false" ht="19.5" hidden="false" customHeight="true" outlineLevel="0" collapsed="false">
      <c r="A2" s="3" t="s">
        <v>77</v>
      </c>
      <c r="B2" s="3"/>
      <c r="C2" s="3"/>
      <c r="D2" s="3"/>
      <c r="E2" s="3"/>
      <c r="F2" s="3"/>
    </row>
    <row r="4" customFormat="false" ht="21.75" hidden="false" customHeight="true" outlineLevel="0" collapsed="false">
      <c r="A4" s="14" t="s">
        <v>78</v>
      </c>
      <c r="B4" s="14"/>
      <c r="C4" s="14"/>
      <c r="D4" s="14"/>
      <c r="E4" s="14"/>
      <c r="F4" s="14"/>
    </row>
    <row r="5" customFormat="false" ht="15" hidden="false" customHeight="true" outlineLevel="0" collapsed="false">
      <c r="B5" s="15"/>
      <c r="D5" s="24" t="s">
        <v>79</v>
      </c>
      <c r="E5" s="24" t="s">
        <v>80</v>
      </c>
      <c r="F5" s="24" t="s">
        <v>81</v>
      </c>
    </row>
    <row r="6" customFormat="false" ht="15" hidden="false" customHeight="true" outlineLevel="0" collapsed="false">
      <c r="B6" s="25" t="s">
        <v>82</v>
      </c>
      <c r="D6" s="26" t="n">
        <f aca="false">Hypothèses!C5*Hypothèses!C6*12*Hypothèses!C7</f>
        <v>182400</v>
      </c>
      <c r="E6" s="27" t="n">
        <f aca="false">D6*(1+Hypothèses!C50)</f>
        <v>193344</v>
      </c>
      <c r="F6" s="27" t="n">
        <f aca="false">E6*(1+Hypothèses!C50)</f>
        <v>204944.64</v>
      </c>
    </row>
    <row r="7" customFormat="false" ht="15" hidden="false" customHeight="true" outlineLevel="0" collapsed="false">
      <c r="B7" s="15" t="s">
        <v>83</v>
      </c>
      <c r="D7" s="28" t="n">
        <f aca="false">D6*Hypothèses!C11</f>
        <v>127680</v>
      </c>
      <c r="E7" s="28" t="n">
        <f aca="false">E6*Hypothèses!C11</f>
        <v>135340.8</v>
      </c>
      <c r="F7" s="28" t="n">
        <f aca="false">F6*Hypothèses!C11</f>
        <v>143461.248</v>
      </c>
    </row>
    <row r="8" customFormat="false" ht="15" hidden="false" customHeight="true" outlineLevel="0" collapsed="false">
      <c r="B8" s="15" t="s">
        <v>84</v>
      </c>
      <c r="D8" s="28" t="n">
        <f aca="false">D6*Hypothèses!C12</f>
        <v>40128</v>
      </c>
      <c r="E8" s="28" t="n">
        <f aca="false">E6*Hypothèses!C12</f>
        <v>42535.68</v>
      </c>
      <c r="F8" s="28" t="n">
        <f aca="false">F6*Hypothèses!C12</f>
        <v>45087.8208</v>
      </c>
    </row>
    <row r="9" customFormat="false" ht="15" hidden="false" customHeight="true" outlineLevel="0" collapsed="false">
      <c r="B9" s="15" t="s">
        <v>85</v>
      </c>
      <c r="D9" s="28" t="n">
        <f aca="false">D6*Hypothèses!C13</f>
        <v>14592</v>
      </c>
      <c r="E9" s="28" t="n">
        <f aca="false">E6*Hypothèses!C13</f>
        <v>15467.52</v>
      </c>
      <c r="F9" s="28" t="n">
        <f aca="false">F6*Hypothèses!C13</f>
        <v>16395.5712</v>
      </c>
    </row>
    <row r="11" customFormat="false" ht="21.75" hidden="false" customHeight="true" outlineLevel="0" collapsed="false">
      <c r="A11" s="14" t="s">
        <v>86</v>
      </c>
      <c r="B11" s="14"/>
      <c r="C11" s="14"/>
      <c r="D11" s="14"/>
      <c r="E11" s="14"/>
      <c r="F11" s="14"/>
    </row>
    <row r="12" customFormat="false" ht="15" hidden="false" customHeight="true" outlineLevel="0" collapsed="false">
      <c r="B12" s="15" t="s">
        <v>87</v>
      </c>
      <c r="D12" s="28" t="n">
        <f aca="false">D7*Hypothèses!C17</f>
        <v>5107.2</v>
      </c>
      <c r="E12" s="28" t="n">
        <f aca="false">E7*Hypothèses!C17</f>
        <v>5413.632</v>
      </c>
      <c r="F12" s="28" t="n">
        <f aca="false">F7*Hypothèses!C17</f>
        <v>5738.44992</v>
      </c>
    </row>
    <row r="13" customFormat="false" ht="15" hidden="false" customHeight="true" outlineLevel="0" collapsed="false">
      <c r="B13" s="15" t="s">
        <v>88</v>
      </c>
      <c r="D13" s="28" t="n">
        <f aca="false">D8*Hypothèses!C18</f>
        <v>6019.2</v>
      </c>
      <c r="E13" s="28" t="n">
        <f aca="false">E8*Hypothèses!C18</f>
        <v>6380.352</v>
      </c>
      <c r="F13" s="28" t="n">
        <f aca="false">F8*Hypothèses!C18</f>
        <v>6763.17312</v>
      </c>
    </row>
    <row r="14" customFormat="false" ht="15" hidden="false" customHeight="true" outlineLevel="0" collapsed="false">
      <c r="B14" s="15" t="s">
        <v>89</v>
      </c>
      <c r="D14" s="28" t="n">
        <f aca="false">D9*Hypothèses!C19</f>
        <v>7296</v>
      </c>
      <c r="E14" s="28" t="n">
        <f aca="false">E9*Hypothèses!C19</f>
        <v>7733.76</v>
      </c>
      <c r="F14" s="28" t="n">
        <f aca="false">F9*Hypothèses!C19</f>
        <v>8197.7856</v>
      </c>
    </row>
    <row r="15" customFormat="false" ht="15" hidden="false" customHeight="true" outlineLevel="0" collapsed="false">
      <c r="B15" s="20" t="s">
        <v>90</v>
      </c>
      <c r="D15" s="29" t="n">
        <f aca="false">D12+D13+D14</f>
        <v>18422.4</v>
      </c>
      <c r="E15" s="29" t="n">
        <f aca="false">E12+E13+E14</f>
        <v>19527.744</v>
      </c>
      <c r="F15" s="29" t="n">
        <f aca="false">F12+F13+F14</f>
        <v>20699.40864</v>
      </c>
    </row>
    <row r="16" customFormat="false" ht="15" hidden="false" customHeight="true" outlineLevel="0" collapsed="false">
      <c r="B16" s="30" t="s">
        <v>91</v>
      </c>
      <c r="D16" s="31" t="n">
        <f aca="false">D6-D15</f>
        <v>163977.6</v>
      </c>
      <c r="E16" s="31" t="n">
        <f aca="false">E6-E15</f>
        <v>173816.256</v>
      </c>
      <c r="F16" s="31" t="n">
        <f aca="false">F6-F15</f>
        <v>184245.23136</v>
      </c>
    </row>
    <row r="17" customFormat="false" ht="15" hidden="false" customHeight="true" outlineLevel="0" collapsed="false">
      <c r="B17" s="32" t="s">
        <v>92</v>
      </c>
      <c r="D17" s="33" t="n">
        <f aca="false">D16/D6</f>
        <v>0.899</v>
      </c>
      <c r="E17" s="33" t="n">
        <f aca="false">E16/E6</f>
        <v>0.899</v>
      </c>
      <c r="F17" s="33" t="n">
        <f aca="false">F16/F6</f>
        <v>0.899</v>
      </c>
    </row>
    <row r="19" customFormat="false" ht="21.75" hidden="false" customHeight="true" outlineLevel="0" collapsed="false">
      <c r="A19" s="14" t="s">
        <v>93</v>
      </c>
      <c r="B19" s="14"/>
      <c r="C19" s="14"/>
      <c r="D19" s="14"/>
      <c r="E19" s="14"/>
      <c r="F19" s="14"/>
    </row>
    <row r="20" customFormat="false" ht="15" hidden="false" customHeight="true" outlineLevel="0" collapsed="false">
      <c r="B20" s="15" t="s">
        <v>94</v>
      </c>
      <c r="D20" s="28" t="n">
        <f aca="false">Hypothèses!C5*Hypothèses!C6*12*(1+Hypothèses!C33)</f>
        <v>64752</v>
      </c>
      <c r="E20" s="28" t="n">
        <f aca="false">D20*(1+Hypothèses!C50)</f>
        <v>68637.12</v>
      </c>
      <c r="F20" s="28" t="n">
        <f aca="false">E20*(1+Hypothèses!C50)</f>
        <v>72755.3472</v>
      </c>
    </row>
    <row r="21" customFormat="false" ht="15" hidden="false" customHeight="true" outlineLevel="0" collapsed="false">
      <c r="B21" s="15" t="s">
        <v>95</v>
      </c>
      <c r="D21" s="28" t="n">
        <f aca="false">Hypothèses!C5*Hypothèses!C34</f>
        <v>1600</v>
      </c>
      <c r="E21" s="28" t="n">
        <f aca="false">Hypothèses!C5*Hypothèses!C34</f>
        <v>1600</v>
      </c>
      <c r="F21" s="28" t="n">
        <f aca="false">Hypothèses!C5*Hypothèses!C34</f>
        <v>1600</v>
      </c>
    </row>
    <row r="22" customFormat="false" ht="15" hidden="false" customHeight="true" outlineLevel="0" collapsed="false">
      <c r="B22" s="20" t="s">
        <v>96</v>
      </c>
      <c r="D22" s="29" t="n">
        <f aca="false">D20+D21</f>
        <v>66352</v>
      </c>
      <c r="E22" s="29" t="n">
        <f aca="false">E20+E21</f>
        <v>70237.12</v>
      </c>
      <c r="F22" s="29" t="n">
        <f aca="false">F20+F21</f>
        <v>74355.3472</v>
      </c>
    </row>
    <row r="23" customFormat="false" ht="15" hidden="false" customHeight="true" outlineLevel="0" collapsed="false">
      <c r="B23" s="32" t="s">
        <v>97</v>
      </c>
      <c r="D23" s="33" t="n">
        <f aca="false">D22/D6</f>
        <v>0.363771929824561</v>
      </c>
      <c r="E23" s="33" t="n">
        <f aca="false">E22/E6</f>
        <v>0.363275405494869</v>
      </c>
      <c r="F23" s="33" t="n">
        <f aca="false">F22/F6</f>
        <v>0.362806986315914</v>
      </c>
    </row>
    <row r="25" customFormat="false" ht="21.75" hidden="false" customHeight="true" outlineLevel="0" collapsed="false">
      <c r="A25" s="14" t="s">
        <v>98</v>
      </c>
      <c r="B25" s="14"/>
      <c r="C25" s="14"/>
      <c r="D25" s="14"/>
      <c r="E25" s="14"/>
      <c r="F25" s="14"/>
    </row>
    <row r="26" customFormat="false" ht="15" hidden="false" customHeight="true" outlineLevel="0" collapsed="false">
      <c r="B26" s="15" t="s">
        <v>99</v>
      </c>
      <c r="D26" s="28" t="n">
        <f aca="false">D6*Hypothèses!C53</f>
        <v>36480</v>
      </c>
      <c r="E26" s="28" t="n">
        <f aca="false">E6*Hypothèses!C53</f>
        <v>38668.8</v>
      </c>
      <c r="F26" s="28" t="n">
        <f aca="false">F6*Hypothèses!C53</f>
        <v>40988.928</v>
      </c>
    </row>
    <row r="27" customFormat="false" ht="15" hidden="false" customHeight="true" outlineLevel="0" collapsed="false">
      <c r="B27" s="34" t="s">
        <v>100</v>
      </c>
      <c r="C27" s="34"/>
      <c r="D27" s="34"/>
      <c r="E27" s="34"/>
      <c r="F27" s="34"/>
    </row>
  </sheetData>
  <mergeCells count="7">
    <mergeCell ref="A1:F1"/>
    <mergeCell ref="A2:F2"/>
    <mergeCell ref="A4:F4"/>
    <mergeCell ref="A11:F11"/>
    <mergeCell ref="A19:F19"/>
    <mergeCell ref="A25:F25"/>
    <mergeCell ref="B27:F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0"/>
    <col collapsed="false" customWidth="true" hidden="false" outlineLevel="0" max="3" min="3" style="1" width="6"/>
    <col collapsed="false" customWidth="true" hidden="false" outlineLevel="0" max="6" min="4" style="1" width="16"/>
    <col collapsed="false" customWidth="true" hidden="false" outlineLevel="0" max="7" min="7" style="1" width="6"/>
  </cols>
  <sheetData>
    <row r="1" customFormat="false" ht="33.75" hidden="false" customHeight="true" outlineLevel="0" collapsed="false">
      <c r="A1" s="2" t="s">
        <v>101</v>
      </c>
      <c r="B1" s="2"/>
      <c r="C1" s="2"/>
      <c r="D1" s="2"/>
      <c r="E1" s="2"/>
      <c r="F1" s="2"/>
    </row>
    <row r="2" customFormat="false" ht="19.5" hidden="false" customHeight="true" outlineLevel="0" collapsed="false">
      <c r="A2" s="3" t="s">
        <v>102</v>
      </c>
      <c r="B2" s="3"/>
      <c r="C2" s="3"/>
      <c r="D2" s="3"/>
      <c r="E2" s="3"/>
      <c r="F2" s="3"/>
    </row>
    <row r="4" customFormat="false" ht="15" hidden="false" customHeight="true" outlineLevel="0" collapsed="false">
      <c r="B4" s="15"/>
      <c r="D4" s="24" t="s">
        <v>79</v>
      </c>
      <c r="E4" s="24" t="s">
        <v>80</v>
      </c>
      <c r="F4" s="24" t="s">
        <v>81</v>
      </c>
    </row>
    <row r="5" customFormat="false" ht="15" hidden="false" customHeight="true" outlineLevel="0" collapsed="false">
      <c r="B5" s="35" t="s">
        <v>103</v>
      </c>
      <c r="D5" s="26" t="n">
        <f aca="false">'CA &amp; Marges'!D6</f>
        <v>182400</v>
      </c>
      <c r="E5" s="26" t="n">
        <f aca="false">'CA &amp; Marges'!E6</f>
        <v>193344</v>
      </c>
      <c r="F5" s="26" t="n">
        <f aca="false">'CA &amp; Marges'!F6</f>
        <v>204944.64</v>
      </c>
    </row>
    <row r="6" customFormat="false" ht="15" hidden="false" customHeight="true" outlineLevel="0" collapsed="false">
      <c r="B6" s="36" t="s">
        <v>104</v>
      </c>
      <c r="D6" s="37" t="n">
        <f aca="false">-'CA &amp; Marges'!D15</f>
        <v>-18422.4</v>
      </c>
      <c r="E6" s="37" t="n">
        <f aca="false">-'CA &amp; Marges'!E15</f>
        <v>-19527.744</v>
      </c>
      <c r="F6" s="37" t="n">
        <f aca="false">-'CA &amp; Marges'!F15</f>
        <v>-20699.40864</v>
      </c>
    </row>
    <row r="7" customFormat="false" ht="15" hidden="false" customHeight="true" outlineLevel="0" collapsed="false">
      <c r="B7" s="30" t="s">
        <v>91</v>
      </c>
      <c r="D7" s="31" t="n">
        <f aca="false">D5+D6</f>
        <v>163977.6</v>
      </c>
      <c r="E7" s="31" t="n">
        <f aca="false">E5+E6</f>
        <v>173816.256</v>
      </c>
      <c r="F7" s="31" t="n">
        <f aca="false">F5+F6</f>
        <v>184245.23136</v>
      </c>
    </row>
    <row r="8" customFormat="false" ht="15" hidden="false" customHeight="true" outlineLevel="0" collapsed="false">
      <c r="B8" s="36" t="s">
        <v>105</v>
      </c>
      <c r="D8" s="37" t="n">
        <f aca="false">-'CA &amp; Marges'!D22</f>
        <v>-66352</v>
      </c>
      <c r="E8" s="37" t="n">
        <f aca="false">-'CA &amp; Marges'!E22</f>
        <v>-70237.12</v>
      </c>
      <c r="F8" s="37" t="n">
        <f aca="false">-'CA &amp; Marges'!F22</f>
        <v>-74355.3472</v>
      </c>
    </row>
    <row r="9" customFormat="false" ht="15" hidden="false" customHeight="true" outlineLevel="0" collapsed="false">
      <c r="B9" s="15" t="s">
        <v>106</v>
      </c>
      <c r="D9" s="28" t="n">
        <f aca="false">-((Hypothèses!C22+Hypothèses!C23+Hypothèses!C24+Hypothèses!C25+Hypothèses!C26+Hypothèses!C27+Hypothèses!C28+Hypothèses!C29+Hypothèses!C30)*12)</f>
        <v>-30000</v>
      </c>
      <c r="E9" s="28" t="n">
        <f aca="false">D9*(1+Hypothèses!C50)</f>
        <v>-31800</v>
      </c>
      <c r="F9" s="28" t="n">
        <f aca="false">E9*(1+Hypothèses!C50)</f>
        <v>-33708</v>
      </c>
    </row>
    <row r="10" customFormat="false" ht="15" hidden="false" customHeight="true" outlineLevel="0" collapsed="false">
      <c r="B10" s="38" t="s">
        <v>107</v>
      </c>
      <c r="D10" s="39" t="n">
        <f aca="false">D7+D8+D9</f>
        <v>67625.6</v>
      </c>
      <c r="E10" s="39" t="n">
        <f aca="false">E7+E8+E9</f>
        <v>71779.136</v>
      </c>
      <c r="F10" s="39" t="n">
        <f aca="false">F7+F8+F9</f>
        <v>76181.88416</v>
      </c>
    </row>
    <row r="11" customFormat="false" ht="15" hidden="false" customHeight="true" outlineLevel="0" collapsed="false">
      <c r="B11" s="32" t="s">
        <v>108</v>
      </c>
      <c r="D11" s="33" t="n">
        <f aca="false">D10/D5</f>
        <v>0.370754385964912</v>
      </c>
      <c r="E11" s="33" t="n">
        <f aca="false">E10/E5</f>
        <v>0.371250910294604</v>
      </c>
      <c r="F11" s="33" t="n">
        <f aca="false">F10/F5</f>
        <v>0.371719329473559</v>
      </c>
    </row>
    <row r="12" customFormat="false" ht="15" hidden="false" customHeight="true" outlineLevel="0" collapsed="false">
      <c r="B12" s="36" t="s">
        <v>109</v>
      </c>
      <c r="D12" s="37" t="n">
        <f aca="false">-(Hypothèses!C38+Hypothèses!C39)/Hypothèses!C52</f>
        <v>-6142.85714285714</v>
      </c>
      <c r="E12" s="37" t="n">
        <f aca="false">-(Hypothèses!C38+Hypothèses!C39)/Hypothèses!C52</f>
        <v>-6142.85714285714</v>
      </c>
      <c r="F12" s="37" t="n">
        <f aca="false">-(Hypothèses!C38+Hypothèses!C39)/Hypothèses!C52</f>
        <v>-6142.85714285714</v>
      </c>
    </row>
    <row r="13" customFormat="false" ht="15" hidden="false" customHeight="true" outlineLevel="0" collapsed="false">
      <c r="B13" s="15" t="s">
        <v>110</v>
      </c>
      <c r="D13" s="28" t="n">
        <f aca="false">-'Plan de financement'!E23</f>
        <v>-4149</v>
      </c>
      <c r="E13" s="28" t="n">
        <f aca="false">-'Plan de financement'!E24</f>
        <v>-3631.61360931668</v>
      </c>
      <c r="F13" s="28" t="n">
        <f aca="false">-'Plan de financement'!E25</f>
        <v>-3090.94483105261</v>
      </c>
    </row>
    <row r="14" customFormat="false" ht="15" hidden="false" customHeight="true" outlineLevel="0" collapsed="false">
      <c r="B14" s="25" t="s">
        <v>111</v>
      </c>
      <c r="D14" s="27" t="n">
        <f aca="false">D10+D12+D13</f>
        <v>57333.7428571429</v>
      </c>
      <c r="E14" s="27" t="n">
        <f aca="false">E10+E12+E13</f>
        <v>62004.6652478262</v>
      </c>
      <c r="F14" s="27" t="n">
        <f aca="false">F10+F12+F13</f>
        <v>66948.0821860902</v>
      </c>
    </row>
    <row r="15" customFormat="false" ht="15" hidden="false" customHeight="true" outlineLevel="0" collapsed="false">
      <c r="B15" s="36" t="s">
        <v>112</v>
      </c>
      <c r="D15" s="37" t="n">
        <f aca="false">-MAX(0,D14)*Hypothèses!C51</f>
        <v>-8600.06142857143</v>
      </c>
      <c r="E15" s="37" t="n">
        <f aca="false">-MAX(0,E14)*Hypothèses!C51</f>
        <v>-9300.69978717392</v>
      </c>
      <c r="F15" s="37" t="n">
        <f aca="false">-MAX(0,F14)*Hypothèses!C51</f>
        <v>-10042.2123279135</v>
      </c>
    </row>
    <row r="16" customFormat="false" ht="15" hidden="false" customHeight="true" outlineLevel="0" collapsed="false">
      <c r="B16" s="40" t="s">
        <v>113</v>
      </c>
      <c r="D16" s="41" t="n">
        <f aca="false">D14+D15</f>
        <v>48733.6814285714</v>
      </c>
      <c r="E16" s="41" t="n">
        <f aca="false">E14+E15</f>
        <v>52703.9654606522</v>
      </c>
      <c r="F16" s="41" t="n">
        <f aca="false">F14+F15</f>
        <v>56905.8698581767</v>
      </c>
    </row>
    <row r="17" customFormat="false" ht="15" hidden="false" customHeight="true" outlineLevel="0" collapsed="false">
      <c r="B17" s="32" t="s">
        <v>114</v>
      </c>
      <c r="D17" s="33" t="n">
        <f aca="false">D16/D5</f>
        <v>0.267180270989975</v>
      </c>
      <c r="E17" s="33" t="n">
        <f aca="false">E16/E5</f>
        <v>0.27259167835905</v>
      </c>
      <c r="F17" s="33" t="n">
        <f aca="false">F16/F5</f>
        <v>0.277664592048744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0"/>
    <col collapsed="false" customWidth="true" hidden="false" outlineLevel="0" max="3" min="3" style="1" width="18"/>
    <col collapsed="false" customWidth="true" hidden="false" outlineLevel="0" max="4" min="4" style="1" width="4"/>
    <col collapsed="false" customWidth="true" hidden="false" outlineLevel="0" max="5" min="5" style="1" width="40"/>
    <col collapsed="false" customWidth="true" hidden="false" outlineLevel="0" max="6" min="6" style="1" width="18"/>
    <col collapsed="false" customWidth="true" hidden="false" outlineLevel="0" max="7" min="7" style="1" width="4"/>
  </cols>
  <sheetData>
    <row r="1" customFormat="false" ht="33.75" hidden="false" customHeight="true" outlineLevel="0" collapsed="false">
      <c r="A1" s="2" t="s">
        <v>115</v>
      </c>
      <c r="B1" s="2"/>
      <c r="C1" s="2"/>
      <c r="D1" s="2"/>
      <c r="E1" s="2"/>
      <c r="F1" s="2"/>
    </row>
    <row r="2" customFormat="false" ht="19.5" hidden="false" customHeight="true" outlineLevel="0" collapsed="false">
      <c r="A2" s="3" t="s">
        <v>116</v>
      </c>
      <c r="B2" s="3"/>
      <c r="C2" s="3"/>
      <c r="D2" s="3"/>
      <c r="E2" s="3"/>
      <c r="F2" s="3"/>
    </row>
    <row r="4" customFormat="false" ht="21.75" hidden="false" customHeight="true" outlineLevel="0" collapsed="false">
      <c r="A4" s="14" t="s">
        <v>117</v>
      </c>
      <c r="B4" s="14"/>
      <c r="C4" s="14"/>
      <c r="E4" s="14" t="s">
        <v>118</v>
      </c>
      <c r="F4" s="14"/>
    </row>
    <row r="5" customFormat="false" ht="15" hidden="false" customHeight="true" outlineLevel="0" collapsed="false">
      <c r="B5" s="15" t="s">
        <v>119</v>
      </c>
      <c r="C5" s="37" t="n">
        <f aca="false">Hypothèses!C37</f>
        <v>60000</v>
      </c>
      <c r="E5" s="15" t="s">
        <v>68</v>
      </c>
      <c r="F5" s="37" t="n">
        <f aca="false">Hypothèses!C45</f>
        <v>40000</v>
      </c>
    </row>
    <row r="6" customFormat="false" ht="15" hidden="false" customHeight="true" outlineLevel="0" collapsed="false">
      <c r="B6" s="15" t="s">
        <v>62</v>
      </c>
      <c r="C6" s="37" t="n">
        <f aca="false">Hypothèses!C38</f>
        <v>25000</v>
      </c>
      <c r="E6" s="15" t="s">
        <v>120</v>
      </c>
      <c r="F6" s="28" t="n">
        <f aca="false">C12-F5</f>
        <v>92200</v>
      </c>
    </row>
    <row r="7" customFormat="false" ht="15" hidden="false" customHeight="true" outlineLevel="0" collapsed="false">
      <c r="B7" s="15" t="s">
        <v>121</v>
      </c>
      <c r="C7" s="37" t="n">
        <f aca="false">Hypothèses!C39</f>
        <v>18000</v>
      </c>
      <c r="E7" s="15"/>
      <c r="F7" s="15"/>
    </row>
    <row r="8" customFormat="false" ht="15" hidden="false" customHeight="true" outlineLevel="0" collapsed="false">
      <c r="B8" s="15" t="s">
        <v>122</v>
      </c>
      <c r="C8" s="37" t="n">
        <f aca="false">Hypothèses!C40</f>
        <v>6000</v>
      </c>
      <c r="E8" s="15"/>
      <c r="F8" s="15"/>
    </row>
    <row r="9" customFormat="false" ht="15" hidden="false" customHeight="true" outlineLevel="0" collapsed="false">
      <c r="B9" s="15" t="s">
        <v>123</v>
      </c>
      <c r="C9" s="37" t="n">
        <f aca="false">Hypothèses!C41</f>
        <v>4200</v>
      </c>
      <c r="E9" s="15"/>
      <c r="F9" s="15"/>
    </row>
    <row r="10" customFormat="false" ht="15" hidden="false" customHeight="true" outlineLevel="0" collapsed="false">
      <c r="B10" s="15" t="s">
        <v>66</v>
      </c>
      <c r="C10" s="37" t="n">
        <f aca="false">Hypothèses!C42</f>
        <v>15000</v>
      </c>
      <c r="E10" s="15"/>
      <c r="F10" s="15"/>
    </row>
    <row r="11" customFormat="false" ht="15" hidden="false" customHeight="true" outlineLevel="0" collapsed="false">
      <c r="B11" s="15" t="s">
        <v>124</v>
      </c>
      <c r="C11" s="37" t="n">
        <f aca="false">Hypothèses!C43</f>
        <v>4000</v>
      </c>
      <c r="E11" s="15"/>
      <c r="F11" s="15"/>
    </row>
    <row r="12" customFormat="false" ht="15" hidden="false" customHeight="true" outlineLevel="0" collapsed="false">
      <c r="B12" s="40" t="s">
        <v>125</v>
      </c>
      <c r="C12" s="41" t="n">
        <f aca="false">SUM(C5:C11)</f>
        <v>132200</v>
      </c>
      <c r="E12" s="40" t="s">
        <v>126</v>
      </c>
      <c r="F12" s="41" t="n">
        <f aca="false">F5+F6</f>
        <v>132200</v>
      </c>
    </row>
    <row r="14" customFormat="false" ht="15" hidden="false" customHeight="true" outlineLevel="0" collapsed="false">
      <c r="B14" s="20" t="s">
        <v>127</v>
      </c>
      <c r="C14" s="29" t="n">
        <f aca="false">F12-C12</f>
        <v>0</v>
      </c>
    </row>
    <row r="16" customFormat="false" ht="21.75" hidden="false" customHeight="true" outlineLevel="0" collapsed="false">
      <c r="A16" s="14" t="s">
        <v>128</v>
      </c>
      <c r="B16" s="14"/>
      <c r="C16" s="14"/>
      <c r="D16" s="14"/>
      <c r="E16" s="14"/>
      <c r="F16" s="14"/>
    </row>
    <row r="17" customFormat="false" ht="15" hidden="false" customHeight="true" outlineLevel="0" collapsed="false">
      <c r="B17" s="15" t="s">
        <v>129</v>
      </c>
      <c r="C17" s="37" t="n">
        <f aca="false">F6</f>
        <v>92200</v>
      </c>
    </row>
    <row r="18" customFormat="false" ht="15" hidden="false" customHeight="true" outlineLevel="0" collapsed="false">
      <c r="B18" s="15" t="s">
        <v>130</v>
      </c>
      <c r="C18" s="42" t="n">
        <f aca="false">Hypothèses!C46</f>
        <v>0.045</v>
      </c>
    </row>
    <row r="19" customFormat="false" ht="15" hidden="false" customHeight="true" outlineLevel="0" collapsed="false">
      <c r="B19" s="15" t="s">
        <v>131</v>
      </c>
      <c r="C19" s="43" t="n">
        <f aca="false">Hypothèses!C47</f>
        <v>7</v>
      </c>
    </row>
    <row r="20" customFormat="false" ht="15" hidden="false" customHeight="true" outlineLevel="0" collapsed="false">
      <c r="B20" s="25" t="s">
        <v>132</v>
      </c>
      <c r="C20" s="27" t="n">
        <f aca="false">IF(C18=0,C17/C19,C17*C18/(1-(1+C18)^-C19))</f>
        <v>15646.4753485182</v>
      </c>
    </row>
    <row r="22" customFormat="false" ht="15" hidden="false" customHeight="true" outlineLevel="0" collapsed="false">
      <c r="B22" s="24" t="s">
        <v>133</v>
      </c>
      <c r="C22" s="24" t="s">
        <v>134</v>
      </c>
      <c r="D22" s="44"/>
      <c r="E22" s="24" t="s">
        <v>135</v>
      </c>
      <c r="F22" s="24" t="s">
        <v>136</v>
      </c>
      <c r="G22" s="24" t="s">
        <v>137</v>
      </c>
    </row>
    <row r="23" customFormat="false" ht="15" hidden="false" customHeight="true" outlineLevel="0" collapsed="false">
      <c r="B23" s="45" t="n">
        <v>1</v>
      </c>
      <c r="C23" s="28" t="n">
        <f aca="false">C17</f>
        <v>92200</v>
      </c>
      <c r="E23" s="28" t="n">
        <f aca="false">C23*$C$18</f>
        <v>4149</v>
      </c>
      <c r="F23" s="28" t="n">
        <f aca="false">$C$20-E23</f>
        <v>11497.4753485182</v>
      </c>
      <c r="G23" s="28" t="n">
        <f aca="false">C23-F23</f>
        <v>80702.5246514818</v>
      </c>
    </row>
    <row r="24" customFormat="false" ht="15" hidden="false" customHeight="true" outlineLevel="0" collapsed="false">
      <c r="B24" s="45" t="n">
        <v>2</v>
      </c>
      <c r="C24" s="28" t="n">
        <f aca="false">G23</f>
        <v>80702.5246514818</v>
      </c>
      <c r="E24" s="28" t="n">
        <f aca="false">C24*$C$18</f>
        <v>3631.61360931668</v>
      </c>
      <c r="F24" s="28" t="n">
        <f aca="false">$C$20-E24</f>
        <v>12014.8617392015</v>
      </c>
      <c r="G24" s="28" t="n">
        <f aca="false">C24-F24</f>
        <v>68687.6629122803</v>
      </c>
    </row>
    <row r="25" customFormat="false" ht="15" hidden="false" customHeight="true" outlineLevel="0" collapsed="false">
      <c r="B25" s="45" t="n">
        <v>3</v>
      </c>
      <c r="C25" s="28" t="n">
        <f aca="false">G24</f>
        <v>68687.6629122803</v>
      </c>
      <c r="E25" s="28" t="n">
        <f aca="false">C25*$C$18</f>
        <v>3090.94483105261</v>
      </c>
      <c r="F25" s="28" t="n">
        <f aca="false">$C$20-E25</f>
        <v>12555.5305174656</v>
      </c>
      <c r="G25" s="28" t="n">
        <f aca="false">C25-F25</f>
        <v>56132.1323948147</v>
      </c>
    </row>
  </sheetData>
  <mergeCells count="5">
    <mergeCell ref="A1:F1"/>
    <mergeCell ref="A2:F2"/>
    <mergeCell ref="A4:C4"/>
    <mergeCell ref="E4:F4"/>
    <mergeCell ref="A16:F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2"/>
    <col collapsed="false" customWidth="true" hidden="false" outlineLevel="0" max="14" min="3" style="1" width="9"/>
    <col collapsed="false" customWidth="true" hidden="false" outlineLevel="0" max="15" min="15" style="1" width="12"/>
  </cols>
  <sheetData>
    <row r="1" customFormat="false" ht="33.75" hidden="false" customHeight="true" outlineLevel="0" collapsed="false">
      <c r="A1" s="2" t="s">
        <v>138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9.5" hidden="false" customHeight="true" outlineLevel="0" collapsed="false">
      <c r="A2" s="3" t="s">
        <v>139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4" customFormat="false" ht="15" hidden="false" customHeight="true" outlineLevel="0" collapsed="false">
      <c r="B4" s="46" t="s">
        <v>140</v>
      </c>
      <c r="C4" s="47" t="s">
        <v>141</v>
      </c>
      <c r="D4" s="47" t="s">
        <v>142</v>
      </c>
      <c r="E4" s="47" t="s">
        <v>143</v>
      </c>
      <c r="F4" s="47" t="s">
        <v>144</v>
      </c>
      <c r="G4" s="47" t="s">
        <v>145</v>
      </c>
      <c r="H4" s="47" t="s">
        <v>146</v>
      </c>
      <c r="I4" s="47" t="s">
        <v>147</v>
      </c>
      <c r="J4" s="47" t="s">
        <v>148</v>
      </c>
      <c r="K4" s="47" t="s">
        <v>149</v>
      </c>
      <c r="L4" s="47" t="s">
        <v>150</v>
      </c>
      <c r="M4" s="47" t="s">
        <v>151</v>
      </c>
      <c r="N4" s="47" t="s">
        <v>152</v>
      </c>
      <c r="O4" s="24" t="s">
        <v>153</v>
      </c>
    </row>
    <row r="5" customFormat="false" ht="15" hidden="false" customHeight="true" outlineLevel="0" collapsed="false">
      <c r="B5" s="48" t="s">
        <v>154</v>
      </c>
      <c r="C5" s="49" t="n">
        <v>0.075</v>
      </c>
      <c r="D5" s="49" t="n">
        <v>0.07</v>
      </c>
      <c r="E5" s="49" t="n">
        <v>0.08</v>
      </c>
      <c r="F5" s="49" t="n">
        <v>0.085</v>
      </c>
      <c r="G5" s="49" t="n">
        <v>0.09</v>
      </c>
      <c r="H5" s="49" t="n">
        <v>0.085</v>
      </c>
      <c r="I5" s="49" t="n">
        <v>0.075</v>
      </c>
      <c r="J5" s="49" t="n">
        <v>0.06</v>
      </c>
      <c r="K5" s="49" t="n">
        <v>0.09</v>
      </c>
      <c r="L5" s="49" t="n">
        <v>0.095</v>
      </c>
      <c r="M5" s="49" t="n">
        <v>0.085</v>
      </c>
      <c r="N5" s="49" t="n">
        <v>0.11</v>
      </c>
      <c r="O5" s="50" t="n">
        <f aca="false">SUM(C5:N5)</f>
        <v>1</v>
      </c>
    </row>
    <row r="6" customFormat="false" ht="15" hidden="false" customHeight="true" outlineLevel="0" collapsed="false">
      <c r="B6" s="48" t="s">
        <v>155</v>
      </c>
      <c r="C6" s="51" t="n">
        <f aca="false">'CA &amp; Marges'!D6*(1+Hypothèses!C53)*C5</f>
        <v>16416</v>
      </c>
      <c r="D6" s="51" t="n">
        <f aca="false">'CA &amp; Marges'!D6*(1+Hypothèses!C53)*D5</f>
        <v>15321.6</v>
      </c>
      <c r="E6" s="51" t="n">
        <f aca="false">'CA &amp; Marges'!D6*(1+Hypothèses!C53)*E5</f>
        <v>17510.4</v>
      </c>
      <c r="F6" s="51" t="n">
        <f aca="false">'CA &amp; Marges'!D6*(1+Hypothèses!C53)*F5</f>
        <v>18604.8</v>
      </c>
      <c r="G6" s="51" t="n">
        <f aca="false">'CA &amp; Marges'!D6*(1+Hypothèses!C53)*G5</f>
        <v>19699.2</v>
      </c>
      <c r="H6" s="51" t="n">
        <f aca="false">'CA &amp; Marges'!D6*(1+Hypothèses!C53)*H5</f>
        <v>18604.8</v>
      </c>
      <c r="I6" s="51" t="n">
        <f aca="false">'CA &amp; Marges'!D6*(1+Hypothèses!C53)*I5</f>
        <v>16416</v>
      </c>
      <c r="J6" s="51" t="n">
        <f aca="false">'CA &amp; Marges'!D6*(1+Hypothèses!C53)*J5</f>
        <v>13132.8</v>
      </c>
      <c r="K6" s="51" t="n">
        <f aca="false">'CA &amp; Marges'!D6*(1+Hypothèses!C53)*K5</f>
        <v>19699.2</v>
      </c>
      <c r="L6" s="51" t="n">
        <f aca="false">'CA &amp; Marges'!D6*(1+Hypothèses!C53)*L5</f>
        <v>20793.6</v>
      </c>
      <c r="M6" s="51" t="n">
        <f aca="false">'CA &amp; Marges'!D6*(1+Hypothèses!C53)*M5</f>
        <v>18604.8</v>
      </c>
      <c r="N6" s="51" t="n">
        <f aca="false">'CA &amp; Marges'!D6*(1+Hypothèses!C53)*N5</f>
        <v>24076.8</v>
      </c>
      <c r="O6" s="52" t="n">
        <f aca="false">SUM(C6:N6)</f>
        <v>218880</v>
      </c>
    </row>
    <row r="7" customFormat="false" ht="15" hidden="false" customHeight="true" outlineLevel="0" collapsed="false">
      <c r="B7" s="48" t="s">
        <v>156</v>
      </c>
      <c r="C7" s="51" t="n">
        <f aca="false">-((('Compte de résultat'!$D$8*-1)+('Compte de résultat'!$D$9*-1))/12+('CA &amp; Marges'!$D$15)*C5+('Plan de financement'!$C$20)/12+('CA &amp; Marges'!$D$6*Hypothèses!$C$53)/12)</f>
        <v>-13754.8862790432</v>
      </c>
      <c r="D7" s="51" t="n">
        <f aca="false">-((('Compte de résultat'!$D$8*-1)+('Compte de résultat'!$D$9*-1))/12+('CA &amp; Marges'!$D$15)*D5+('Plan de financement'!$C$20)/12+('CA &amp; Marges'!$D$6*Hypothèses!$C$53)/12)</f>
        <v>-13662.7742790432</v>
      </c>
      <c r="E7" s="51" t="n">
        <f aca="false">-((('Compte de résultat'!$D$8*-1)+('Compte de résultat'!$D$9*-1))/12+('CA &amp; Marges'!$D$15)*E5+('Plan de financement'!$C$20)/12+('CA &amp; Marges'!$D$6*Hypothèses!$C$53)/12)</f>
        <v>-13846.9982790432</v>
      </c>
      <c r="F7" s="51" t="n">
        <f aca="false">-((('Compte de résultat'!$D$8*-1)+('Compte de résultat'!$D$9*-1))/12+('CA &amp; Marges'!$D$15)*F5+('Plan de financement'!$C$20)/12+('CA &amp; Marges'!$D$6*Hypothèses!$C$53)/12)</f>
        <v>-13939.1102790432</v>
      </c>
      <c r="G7" s="51" t="n">
        <f aca="false">-((('Compte de résultat'!$D$8*-1)+('Compte de résultat'!$D$9*-1))/12+('CA &amp; Marges'!$D$15)*G5+('Plan de financement'!$C$20)/12+('CA &amp; Marges'!$D$6*Hypothèses!$C$53)/12)</f>
        <v>-14031.2222790432</v>
      </c>
      <c r="H7" s="51" t="n">
        <f aca="false">-((('Compte de résultat'!$D$8*-1)+('Compte de résultat'!$D$9*-1))/12+('CA &amp; Marges'!$D$15)*H5+('Plan de financement'!$C$20)/12+('CA &amp; Marges'!$D$6*Hypothèses!$C$53)/12)</f>
        <v>-13939.1102790432</v>
      </c>
      <c r="I7" s="51" t="n">
        <f aca="false">-((('Compte de résultat'!$D$8*-1)+('Compte de résultat'!$D$9*-1))/12+('CA &amp; Marges'!$D$15)*I5+('Plan de financement'!$C$20)/12+('CA &amp; Marges'!$D$6*Hypothèses!$C$53)/12)</f>
        <v>-13754.8862790432</v>
      </c>
      <c r="J7" s="51" t="n">
        <f aca="false">-((('Compte de résultat'!$D$8*-1)+('Compte de résultat'!$D$9*-1))/12+('CA &amp; Marges'!$D$15)*J5+('Plan de financement'!$C$20)/12+('CA &amp; Marges'!$D$6*Hypothèses!$C$53)/12)</f>
        <v>-13478.5502790432</v>
      </c>
      <c r="K7" s="51" t="n">
        <f aca="false">-((('Compte de résultat'!$D$8*-1)+('Compte de résultat'!$D$9*-1))/12+('CA &amp; Marges'!$D$15)*K5+('Plan de financement'!$C$20)/12+('CA &amp; Marges'!$D$6*Hypothèses!$C$53)/12)</f>
        <v>-14031.2222790432</v>
      </c>
      <c r="L7" s="51" t="n">
        <f aca="false">-((('Compte de résultat'!$D$8*-1)+('Compte de résultat'!$D$9*-1))/12+('CA &amp; Marges'!$D$15)*L5+('Plan de financement'!$C$20)/12+('CA &amp; Marges'!$D$6*Hypothèses!$C$53)/12)</f>
        <v>-14123.3342790432</v>
      </c>
      <c r="M7" s="51" t="n">
        <f aca="false">-((('Compte de résultat'!$D$8*-1)+('Compte de résultat'!$D$9*-1))/12+('CA &amp; Marges'!$D$15)*M5+('Plan de financement'!$C$20)/12+('CA &amp; Marges'!$D$6*Hypothèses!$C$53)/12)</f>
        <v>-13939.1102790432</v>
      </c>
      <c r="N7" s="51" t="n">
        <f aca="false">-((('Compte de résultat'!$D$8*-1)+('Compte de résultat'!$D$9*-1))/12+('CA &amp; Marges'!$D$15)*N5+('Plan de financement'!$C$20)/12+('CA &amp; Marges'!$D$6*Hypothèses!$C$53)/12)</f>
        <v>-14399.6702790432</v>
      </c>
      <c r="O7" s="52" t="n">
        <f aca="false">SUM(C7:N7)</f>
        <v>-166900.875348518</v>
      </c>
    </row>
    <row r="8" customFormat="false" ht="15" hidden="false" customHeight="true" outlineLevel="0" collapsed="false">
      <c r="B8" s="53" t="s">
        <v>157</v>
      </c>
      <c r="C8" s="52" t="n">
        <f aca="false">C6+C7</f>
        <v>2661.11372095682</v>
      </c>
      <c r="D8" s="52" t="n">
        <f aca="false">D6+D7</f>
        <v>1658.82572095682</v>
      </c>
      <c r="E8" s="52" t="n">
        <f aca="false">E6+E7</f>
        <v>3663.40172095682</v>
      </c>
      <c r="F8" s="52" t="n">
        <f aca="false">F6+F7</f>
        <v>4665.68972095682</v>
      </c>
      <c r="G8" s="52" t="n">
        <f aca="false">G6+G7</f>
        <v>5667.97772095682</v>
      </c>
      <c r="H8" s="52" t="n">
        <f aca="false">H6+H7</f>
        <v>4665.68972095682</v>
      </c>
      <c r="I8" s="52" t="n">
        <f aca="false">I6+I7</f>
        <v>2661.11372095682</v>
      </c>
      <c r="J8" s="52" t="n">
        <f aca="false">J6+J7</f>
        <v>-345.750279043183</v>
      </c>
      <c r="K8" s="52" t="n">
        <f aca="false">K6+K7</f>
        <v>5667.97772095682</v>
      </c>
      <c r="L8" s="52" t="n">
        <f aca="false">L6+L7</f>
        <v>6670.26572095682</v>
      </c>
      <c r="M8" s="52" t="n">
        <f aca="false">M6+M7</f>
        <v>4665.68972095682</v>
      </c>
      <c r="N8" s="52" t="n">
        <f aca="false">N6+N7</f>
        <v>9677.12972095682</v>
      </c>
      <c r="O8" s="52" t="n">
        <f aca="false">SUM(C8:N8)</f>
        <v>51979.1246514818</v>
      </c>
    </row>
    <row r="9" customFormat="false" ht="15" hidden="false" customHeight="true" outlineLevel="0" collapsed="false">
      <c r="B9" s="54" t="s">
        <v>158</v>
      </c>
      <c r="C9" s="55" t="n">
        <f aca="false">Hypothèses!C42+C8</f>
        <v>17661.1137209568</v>
      </c>
      <c r="D9" s="55" t="n">
        <f aca="false">C9+D8</f>
        <v>19319.9394419136</v>
      </c>
      <c r="E9" s="55" t="n">
        <f aca="false">D9+E8</f>
        <v>22983.3411628705</v>
      </c>
      <c r="F9" s="55" t="n">
        <f aca="false">E9+F8</f>
        <v>27649.0308838273</v>
      </c>
      <c r="G9" s="55" t="n">
        <f aca="false">F9+G8</f>
        <v>33317.0086047841</v>
      </c>
      <c r="H9" s="55" t="n">
        <f aca="false">G9+H8</f>
        <v>37982.6983257409</v>
      </c>
      <c r="I9" s="55" t="n">
        <f aca="false">H9+I8</f>
        <v>40643.8120466977</v>
      </c>
      <c r="J9" s="55" t="n">
        <f aca="false">I9+J8</f>
        <v>40298.0617676546</v>
      </c>
      <c r="K9" s="55" t="n">
        <f aca="false">J9+K8</f>
        <v>45966.0394886114</v>
      </c>
      <c r="L9" s="55" t="n">
        <f aca="false">K9+L8</f>
        <v>52636.3052095682</v>
      </c>
      <c r="M9" s="55" t="n">
        <f aca="false">L9+M8</f>
        <v>57301.994930525</v>
      </c>
      <c r="N9" s="55" t="n">
        <f aca="false">M9+N8</f>
        <v>66979.1246514818</v>
      </c>
      <c r="O9" s="55" t="n">
        <f aca="false">N9</f>
        <v>66979.1246514818</v>
      </c>
    </row>
    <row r="11" customFormat="false" ht="15" hidden="false" customHeight="true" outlineLevel="0" collapsed="false">
      <c r="B11" s="56" t="s">
        <v>159</v>
      </c>
      <c r="C11" s="57" t="n">
        <f aca="false">MIN(C9:N9)</f>
        <v>17661.1137209568</v>
      </c>
      <c r="D11" s="57"/>
    </row>
  </sheetData>
  <mergeCells count="3">
    <mergeCell ref="A1:O1"/>
    <mergeCell ref="A2:O2"/>
    <mergeCell ref="C11:D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4"/>
    <col collapsed="false" customWidth="true" hidden="false" outlineLevel="0" max="3" min="3" style="1" width="22"/>
    <col collapsed="false" customWidth="true" hidden="false" outlineLevel="0" max="4" min="4" style="1" width="6"/>
    <col collapsed="false" customWidth="true" hidden="false" outlineLevel="0" max="5" min="5" style="1" width="40"/>
    <col collapsed="false" customWidth="true" hidden="false" outlineLevel="0" max="6" min="6" style="1" width="6"/>
  </cols>
  <sheetData>
    <row r="1" customFormat="false" ht="33.75" hidden="false" customHeight="true" outlineLevel="0" collapsed="false">
      <c r="A1" s="2" t="s">
        <v>160</v>
      </c>
      <c r="B1" s="2"/>
      <c r="C1" s="2"/>
      <c r="D1" s="2"/>
      <c r="E1" s="2"/>
    </row>
    <row r="2" customFormat="false" ht="19.5" hidden="false" customHeight="true" outlineLevel="0" collapsed="false">
      <c r="A2" s="3" t="s">
        <v>161</v>
      </c>
      <c r="B2" s="3"/>
      <c r="C2" s="3"/>
      <c r="D2" s="3"/>
      <c r="E2" s="3"/>
    </row>
    <row r="4" customFormat="false" ht="24" hidden="false" customHeight="true" outlineLevel="0" collapsed="false">
      <c r="A4" s="14" t="s">
        <v>162</v>
      </c>
      <c r="B4" s="14"/>
      <c r="C4" s="14"/>
      <c r="E4" s="58" t="s">
        <v>163</v>
      </c>
    </row>
    <row r="5" customFormat="false" ht="15" hidden="false" customHeight="true" outlineLevel="0" collapsed="false">
      <c r="B5" s="15" t="s">
        <v>103</v>
      </c>
      <c r="C5" s="31" t="n">
        <f aca="false">'CA &amp; Marges'!D6</f>
        <v>182400</v>
      </c>
      <c r="E5" s="59" t="str">
        <f aca="false">IF(AND('CA &amp; Marges'!D22/'CA &amp; Marges'!D6&lt;=0.55,'Compte de résultat'!D10/'Compte de résultat'!D5&gt;=0.1,Trésorerie!C11&gt;=0,Hypothèses!C7&gt;=3),"✅ PROJET VIABLE — les grands équilibres sont respectés.",IF(Trésorerie!C11&lt;0,"🟠 ALERTE TRÉSORERIE — ton point bas est négatif, revois l'apport ou le BFR.",IF('CA &amp; Marges'!D22/'CA &amp; Marges'!D6&gt;0.55,"🟠 MASSE SALARIALE TROP LOURDE — chaque coiffeur doit générer plus de CA.",IF('Compte de résultat'!D10/'Compte de résultat'!D5&lt;0.1,"🟠 RENTABILITÉ INSUFFISANTE — marge d'EBE sous 10 %.","🟠 À AFFINER — vérifie tes hypothèses."))))</f>
        <v>✅ PROJET VIABLE — les grands équilibres sont respectés.</v>
      </c>
    </row>
    <row r="6" customFormat="false" ht="15" hidden="false" customHeight="true" outlineLevel="0" collapsed="false">
      <c r="B6" s="15" t="s">
        <v>164</v>
      </c>
      <c r="C6" s="31" t="n">
        <f aca="false">'CA &amp; Marges'!D6/Hypothèses!C5</f>
        <v>91200</v>
      </c>
      <c r="E6" s="59"/>
    </row>
    <row r="7" customFormat="false" ht="15" hidden="false" customHeight="true" outlineLevel="0" collapsed="false">
      <c r="B7" s="15" t="s">
        <v>92</v>
      </c>
      <c r="C7" s="60" t="n">
        <f aca="false">'CA &amp; Marges'!D16/'CA &amp; Marges'!D6</f>
        <v>0.899</v>
      </c>
      <c r="E7" s="59"/>
    </row>
    <row r="8" customFormat="false" ht="15" hidden="false" customHeight="true" outlineLevel="0" collapsed="false">
      <c r="B8" s="15" t="s">
        <v>97</v>
      </c>
      <c r="C8" s="60" t="n">
        <f aca="false">'CA &amp; Marges'!D22/'CA &amp; Marges'!D6</f>
        <v>0.363771929824561</v>
      </c>
      <c r="E8" s="59"/>
    </row>
    <row r="9" customFormat="false" ht="15" hidden="false" customHeight="true" outlineLevel="0" collapsed="false">
      <c r="B9" s="15" t="s">
        <v>165</v>
      </c>
      <c r="C9" s="60" t="n">
        <f aca="false">(Hypothèses!C22*12)/'CA &amp; Marges'!D6</f>
        <v>0.0921052631578947</v>
      </c>
      <c r="E9" s="59"/>
    </row>
    <row r="10" customFormat="false" ht="15" hidden="false" customHeight="true" outlineLevel="0" collapsed="false">
      <c r="B10" s="15" t="s">
        <v>166</v>
      </c>
      <c r="C10" s="31" t="n">
        <f aca="false">'Compte de résultat'!D10</f>
        <v>67625.6</v>
      </c>
      <c r="E10" s="59"/>
    </row>
    <row r="11" customFormat="false" ht="15" hidden="false" customHeight="true" outlineLevel="0" collapsed="false">
      <c r="B11" s="15" t="s">
        <v>108</v>
      </c>
      <c r="C11" s="60" t="n">
        <f aca="false">'Compte de résultat'!D10/'Compte de résultat'!D5</f>
        <v>0.370754385964912</v>
      </c>
    </row>
    <row r="12" customFormat="false" ht="15" hidden="false" customHeight="true" outlineLevel="0" collapsed="false">
      <c r="B12" s="15" t="s">
        <v>167</v>
      </c>
      <c r="C12" s="31" t="n">
        <f aca="false">'Compte de résultat'!D16</f>
        <v>48733.6814285714</v>
      </c>
      <c r="E12" s="61" t="s">
        <v>168</v>
      </c>
    </row>
    <row r="13" customFormat="false" ht="15" hidden="false" customHeight="true" outlineLevel="0" collapsed="false">
      <c r="B13" s="15" t="s">
        <v>114</v>
      </c>
      <c r="C13" s="60" t="n">
        <f aca="false">'Compte de résultat'!D16/'Compte de résultat'!D5</f>
        <v>0.267180270989975</v>
      </c>
      <c r="E13" s="62" t="str">
        <f aca="false">IF(ROUND(Hypothèses!C14,4)=1,"✅ Répartition = 100 %","⚠️ Ajuste : total ≠ 100 %")</f>
        <v>✅ Répartition = 100 %</v>
      </c>
    </row>
    <row r="14" customFormat="false" ht="15" hidden="false" customHeight="true" outlineLevel="0" collapsed="false">
      <c r="B14" s="15" t="s">
        <v>169</v>
      </c>
      <c r="C14" s="31" t="n">
        <f aca="false">Trésorerie!C11</f>
        <v>17661.1137209568</v>
      </c>
    </row>
    <row r="15" customFormat="false" ht="15" hidden="false" customHeight="true" outlineLevel="0" collapsed="false">
      <c r="E15" s="61" t="s">
        <v>170</v>
      </c>
    </row>
    <row r="16" customFormat="false" ht="21.75" hidden="false" customHeight="true" outlineLevel="0" collapsed="false">
      <c r="A16" s="14" t="s">
        <v>171</v>
      </c>
      <c r="B16" s="14"/>
      <c r="C16" s="14"/>
      <c r="E16" s="63" t="str">
        <f aca="false">"Chaque coiffeur génère "&amp;TEXT('CA &amp; Marges'!D6/Hypothèses!C5/Hypothèses!C6/12,"0.0")&amp;"× son salaire brut. "&amp;IF('CA &amp; Marges'!D6/Hypothèses!C5/Hypothèses!C6/12&gt;=3,"Objectif atteint (≥3).","Sous le seuil de 3 : rentabilité menacée.")</f>
        <v>Chaque coiffeur génère 4.0× son salaire brut. Objectif atteint (≥3).</v>
      </c>
    </row>
    <row r="17" customFormat="false" ht="15" hidden="false" customHeight="true" outlineLevel="0" collapsed="false">
      <c r="B17" s="15" t="s">
        <v>172</v>
      </c>
      <c r="C17" s="28" t="n">
        <f aca="false">'CA &amp; Marges'!D22-'Compte de résultat'!D9</f>
        <v>96352</v>
      </c>
      <c r="E17" s="63"/>
    </row>
    <row r="18" customFormat="false" ht="15" hidden="false" customHeight="true" outlineLevel="0" collapsed="false">
      <c r="B18" s="15" t="s">
        <v>173</v>
      </c>
      <c r="C18" s="64" t="n">
        <f aca="false">'CA &amp; Marges'!D16/'CA &amp; Marges'!D6</f>
        <v>0.899</v>
      </c>
      <c r="E18" s="63"/>
    </row>
    <row r="19" customFormat="false" ht="15" hidden="false" customHeight="true" outlineLevel="0" collapsed="false">
      <c r="B19" s="65" t="s">
        <v>174</v>
      </c>
      <c r="C19" s="39" t="n">
        <f aca="false">C17/C18</f>
        <v>107176.863181313</v>
      </c>
    </row>
    <row r="20" customFormat="false" ht="15" hidden="false" customHeight="true" outlineLevel="0" collapsed="false">
      <c r="B20" s="32" t="s">
        <v>175</v>
      </c>
      <c r="C20" s="66" t="n">
        <f aca="false">'CA &amp; Marges'!D6-C19</f>
        <v>75223.1368186874</v>
      </c>
      <c r="E20" s="13" t="s">
        <v>176</v>
      </c>
    </row>
    <row r="21" customFormat="false" ht="15" hidden="false" customHeight="true" outlineLevel="0" collapsed="false">
      <c r="E21" s="13"/>
    </row>
    <row r="22" customFormat="false" ht="21.75" hidden="false" customHeight="true" outlineLevel="0" collapsed="false">
      <c r="A22" s="14" t="s">
        <v>177</v>
      </c>
      <c r="B22" s="14"/>
      <c r="C22" s="14"/>
      <c r="E22" s="13"/>
    </row>
    <row r="23" customFormat="false" ht="15" hidden="false" customHeight="true" outlineLevel="0" collapsed="false">
      <c r="B23" s="15" t="s">
        <v>178</v>
      </c>
      <c r="C23" s="28" t="n">
        <f aca="false">'CA &amp; Marges'!D6*0.3</f>
        <v>54720</v>
      </c>
    </row>
    <row r="24" customFormat="false" ht="15" hidden="false" customHeight="true" outlineLevel="0" collapsed="false">
      <c r="B24" s="15" t="s">
        <v>179</v>
      </c>
      <c r="C24" s="28" t="n">
        <f aca="false">'CA &amp; Marges'!D6*0.8</f>
        <v>145920</v>
      </c>
    </row>
    <row r="25" customFormat="false" ht="15" hidden="false" customHeight="true" outlineLevel="0" collapsed="false">
      <c r="B25" s="15" t="s">
        <v>180</v>
      </c>
      <c r="C25" s="28" t="n">
        <f aca="false">'Compte de résultat'!D10*3.5</f>
        <v>236689.6</v>
      </c>
    </row>
    <row r="26" customFormat="false" ht="21.75" hidden="false" customHeight="true" outlineLevel="0" collapsed="false">
      <c r="B26" s="34" t="s">
        <v>181</v>
      </c>
      <c r="C26" s="34"/>
    </row>
  </sheetData>
  <mergeCells count="9">
    <mergeCell ref="A1:E1"/>
    <mergeCell ref="A2:E2"/>
    <mergeCell ref="A4:C4"/>
    <mergeCell ref="E5:E10"/>
    <mergeCell ref="A16:C16"/>
    <mergeCell ref="E16:E18"/>
    <mergeCell ref="E20:E22"/>
    <mergeCell ref="A22:C22"/>
    <mergeCell ref="B26:C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2026-07-01T15:17:48Z</dcterms:created>
  <dc:creator>openpyxl</dc:creator>
  <dc:description/>
  <dc:language>en-US</dc:language>
  <cp:lastModifiedBy/>
  <dcterms:modified xsi:type="dcterms:W3CDTF">2026-07-01T15:18:41Z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