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Hypothèses" sheetId="2" state="visible" r:id="rId4"/>
    <sheet name="CA &amp; Marges" sheetId="3" state="visible" r:id="rId5"/>
    <sheet name="Compte de résultat" sheetId="4" state="visible" r:id="rId6"/>
    <sheet name="Financement" sheetId="5" state="visible" r:id="rId7"/>
    <sheet name="Trésorerie" sheetId="6" state="visible" r:id="rId8"/>
    <sheet name="Synthès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4" authorId="0">
      <text>
        <r>
          <rPr>
            <sz val="10"/>
            <rFont val="Arial"/>
            <family val="2"/>
          </rPr>
          <t xml:space="preserve">Capacité d'accueil totale de ton bar.</t>
        </r>
      </text>
    </comment>
    <comment ref="C6" authorId="0">
      <text>
        <r>
          <rPr>
            <sz val="10"/>
            <rFont val="Arial"/>
            <family val="2"/>
          </rPr>
          <t xml:space="preserve">52 moins congés/fermeture.</t>
        </r>
      </text>
    </comment>
    <comment ref="C7" authorId="0">
      <text>
        <r>
          <rPr>
            <sz val="10"/>
            <rFont val="Arial"/>
            <family val="2"/>
          </rPr>
          <t xml:space="preserve">Part des places occupées en moyenne sur une journée type. 45-65 % est réaliste.</t>
        </r>
      </text>
    </comment>
    <comment ref="C8" authorId="0">
      <text>
        <r>
          <rPr>
            <sz val="10"/>
            <rFont val="Arial"/>
            <family val="2"/>
          </rPr>
          <t xml:space="preserve">Nombre de fois qu'une place est réoccupée dans la journée (un bar tourne plus vite qu'un resto).</t>
        </r>
      </text>
    </comment>
    <comment ref="C11" authorId="0">
      <text>
        <r>
          <rPr>
            <sz val="10"/>
            <rFont val="Arial"/>
            <family val="2"/>
          </rPr>
          <t xml:space="preserve">Dépense moyenne d'un client (consommations comprises).</t>
        </r>
      </text>
    </comment>
    <comment ref="C12" authorId="0">
      <text>
        <r>
          <rPr>
            <sz val="10"/>
            <rFont val="Arial"/>
            <family val="2"/>
          </rPr>
          <t xml:space="preserve">Poids de l'alcool dans le CA. Central pour la TVA à 20 % et la marge.</t>
        </r>
      </text>
    </comment>
    <comment ref="C13" authorId="0">
      <text>
        <r>
          <rPr>
            <sz val="10"/>
            <rFont val="Arial"/>
            <family val="2"/>
          </rPr>
          <t xml:space="preserve">Softs et cafés servis sur place (TVA 10 %).</t>
        </r>
      </text>
    </comment>
    <comment ref="C14" authorId="0">
      <text>
        <r>
          <rPr>
            <sz val="10"/>
            <rFont val="Arial"/>
            <family val="2"/>
          </rPr>
          <t xml:space="preserve">Planches, tapas, croque… (TVA 10 %). Le total des 3 parts doit faire 100 %.</t>
        </r>
      </text>
    </comment>
    <comment ref="C18" authorId="0">
      <text>
        <r>
          <rPr>
            <sz val="10"/>
            <rFont val="Arial"/>
            <family val="2"/>
          </rPr>
          <t xml:space="preserve">Coût d'achat / prix de vente. Une bière ou un cocktail se marge très bien (20-28 %).</t>
        </r>
      </text>
    </comment>
    <comment ref="C19" authorId="0">
      <text>
        <r>
          <rPr>
            <sz val="10"/>
            <rFont val="Arial"/>
            <family val="2"/>
          </rPr>
          <t xml:space="preserve">Softs et cafés : marge excellente.</t>
        </r>
      </text>
    </comment>
    <comment ref="C20" authorId="0">
      <text>
        <r>
          <rPr>
            <sz val="10"/>
            <rFont val="Arial"/>
            <family val="2"/>
          </rPr>
          <t xml:space="preserve">Le food se marge moins bien que la boisson.</t>
        </r>
      </text>
    </comment>
    <comment ref="C23" authorId="0">
      <text>
        <r>
          <rPr>
            <sz val="10"/>
            <rFont val="Arial"/>
            <family val="2"/>
          </rPr>
          <t xml:space="preserve">Équivalents temps plein : barmen, serveurs, cuisine.</t>
        </r>
      </text>
    </comment>
    <comment ref="C24" authorId="0">
      <text>
        <r>
          <rPr>
            <sz val="10"/>
            <rFont val="Arial"/>
            <family val="2"/>
          </rPr>
          <t xml:space="preserve">Salaire brut + charges patronales (~42 %). Convention HCR.</t>
        </r>
      </text>
    </comment>
    <comment ref="C25" authorId="0">
      <text>
        <r>
          <rPr>
            <sz val="10"/>
            <rFont val="Arial"/>
            <family val="2"/>
          </rPr>
          <t xml:space="preserve">Ta propre rémunération, charges comprises.</t>
        </r>
      </text>
    </comment>
    <comment ref="C28" authorId="0">
      <text>
        <r>
          <rPr>
            <sz val="10"/>
            <rFont val="Arial"/>
            <family val="2"/>
          </rPr>
          <t xml:space="preserve">Idéalement sous 10 % du CA.</t>
        </r>
      </text>
    </comment>
    <comment ref="C29" authorId="0">
      <text>
        <r>
          <rPr>
            <sz val="10"/>
            <rFont val="Arial"/>
            <family val="2"/>
          </rPr>
          <t xml:space="preserve">Poste lourd : chambres froides, tireuses, machines.</t>
        </r>
      </text>
    </comment>
    <comment ref="C31" authorId="0">
      <text>
        <r>
          <rPr>
            <sz val="10"/>
            <rFont val="Arial"/>
            <family val="2"/>
          </rPr>
          <t xml:space="preserve">Musique = SACEM/SPRE, souvent oublié dans un bar.</t>
        </r>
      </text>
    </comment>
    <comment ref="C36" authorId="0">
      <text>
        <r>
          <rPr>
            <sz val="10"/>
            <rFont val="Arial"/>
            <family val="2"/>
          </rPr>
          <t xml:space="preserve">Prix du fonds, licence IV comprise le cas échéant.</t>
        </r>
      </text>
    </comment>
    <comment ref="C41" authorId="0">
      <text>
        <r>
          <rPr>
            <sz val="10"/>
            <rFont val="Arial"/>
            <family val="2"/>
          </rPr>
          <t xml:space="preserve">Coussin pour les premiers mois.</t>
        </r>
      </text>
    </comment>
    <comment ref="C42" authorId="0">
      <text>
        <r>
          <rPr>
            <sz val="10"/>
            <rFont val="Arial"/>
            <family val="2"/>
          </rPr>
          <t xml:space="preserve">Les banques aiment 20-30 % du projet.</t>
        </r>
      </text>
    </comment>
    <comment ref="C43" authorId="0">
      <text>
        <r>
          <rPr>
            <sz val="10"/>
            <rFont val="Arial"/>
            <family val="2"/>
          </rPr>
          <t xml:space="preserve">Taux annuel du prêt bancaire.</t>
        </r>
      </text>
    </comment>
    <comment ref="C47" authorId="0">
      <text>
        <r>
          <rPr>
            <sz val="10"/>
            <rFont val="Arial"/>
            <family val="2"/>
          </rPr>
          <t xml:space="preserve">15 % jusqu'à 42 500 € de bénéfice puis 25 %. On applique un taux moyen simplifié.</t>
        </r>
      </text>
    </comment>
    <comment ref="C48" authorId="0">
      <text>
        <r>
          <rPr>
            <sz val="10"/>
            <rFont val="Arial"/>
            <family val="2"/>
          </rPr>
          <t xml:space="preserve">Montée en puissance de l'activité.</t>
        </r>
      </text>
    </comment>
  </commentList>
</comments>
</file>

<file path=xl/sharedStrings.xml><?xml version="1.0" encoding="utf-8"?>
<sst xmlns="http://schemas.openxmlformats.org/spreadsheetml/2006/main" count="189" uniqueCount="172">
  <si>
    <t xml:space="preserve">Business plan Bar / Brasserie / Café</t>
  </si>
  <si>
    <t xml:space="preserve">Modèle Excel gratuit — ComptaCool</t>
  </si>
  <si>
    <t xml:space="preserve">Comment ça marche</t>
  </si>
  <si>
    <t xml:space="preserve">Ce fichier calcule tout seul la viabilité de ton projet de bar. Tu ne remplis que les cellules BLEUES.</t>
  </si>
  <si>
    <t xml:space="preserve">Tout le reste (chiffre d'affaires, marges, compte de résultat, financement, trésorerie, ratios et verdict) se calcule automatiquement.</t>
  </si>
  <si>
    <t xml:space="preserve">La règle des couleurs</t>
  </si>
  <si>
    <t xml:space="preserve">Cellules BLEUES  =  à toi de saisir tes hypothèses.</t>
  </si>
  <si>
    <t xml:space="preserve">Cellules NOIRES  =  calculées automatiquement, n'y touche pas.</t>
  </si>
  <si>
    <t xml:space="preserve">Cellules VERTES  =  reprises d'un autre onglet.</t>
  </si>
  <si>
    <t xml:space="preserve">Les 5 étapes</t>
  </si>
  <si>
    <t xml:space="preserve">1.  Onglet « Hypothèses » : renseigne ton bar (places, ticket moyen, mix boissons, coûts, financement).</t>
  </si>
  <si>
    <t xml:space="preserve">2.  Onglet « Trésorerie » : ajuste ta saisonnalité mois par mois (le total doit faire 100 %).</t>
  </si>
  <si>
    <t xml:space="preserve">3.  Laisse les onglets « CA &amp; Marges », « Compte de résultat » et « Financement » se calculer.</t>
  </si>
  <si>
    <t xml:space="preserve">4.  Onglet « Synthèse » : lis tes ratios et le verdict de viabilité.</t>
  </si>
  <si>
    <t xml:space="preserve">5.  Teste plusieurs scénarios (duplique le fichier pour une version prudente).</t>
  </si>
  <si>
    <t xml:space="preserve">Spécificités d'un bar</t>
  </si>
  <si>
    <t xml:space="preserve">Le poids des boissons alcoolisées (TVA 20 %) est central : elles portent la marge mais aussi la fiscalité.</t>
  </si>
  <si>
    <t xml:space="preserve">Le prime cost (coût des boissons + masse salariale) est l'indicateur de survie du secteur.</t>
  </si>
  <si>
    <t xml:space="preserve">La licence (III ou IV) et l'emplacement font toute la valeur du fonds.</t>
  </si>
  <si>
    <t xml:space="preserve">Ce modèle est un point de départ. Fais-le fiabiliser par un expert-comptable avant de le présenter à ta banque.</t>
  </si>
  <si>
    <t xml:space="preserve">ComptaCool — expert.comptable@comptacool.fr — comptacool.fr</t>
  </si>
  <si>
    <t xml:space="preserve">HYPOTHÈSES — ta seule page de saisie (cellules bleues)</t>
  </si>
  <si>
    <t xml:space="preserve">1 · Capacité &amp; fréquentation</t>
  </si>
  <si>
    <t xml:space="preserve">Nombre de places assises (salle + terrasse)</t>
  </si>
  <si>
    <t xml:space="preserve">Jours d'ouverture par semaine</t>
  </si>
  <si>
    <t xml:space="preserve">jours</t>
  </si>
  <si>
    <t xml:space="preserve">Semaines d'ouverture par an</t>
  </si>
  <si>
    <t xml:space="preserve">semaines</t>
  </si>
  <si>
    <t xml:space="preserve">Taux de remplissage moyen sur la journée</t>
  </si>
  <si>
    <t xml:space="preserve">Rotation des places par jour</t>
  </si>
  <si>
    <t xml:space="preserve">fois/jour</t>
  </si>
  <si>
    <t xml:space="preserve">2 · Ticket moyen &amp; mix de vente</t>
  </si>
  <si>
    <t xml:space="preserve">Ticket moyen par client</t>
  </si>
  <si>
    <t xml:space="preserve">Part boissons alcoolisées (bière, vin, cocktails)</t>
  </si>
  <si>
    <t xml:space="preserve">Part boissons sans alcool (softs, cafés)</t>
  </si>
  <si>
    <t xml:space="preserve">Part petite restauration / snacking</t>
  </si>
  <si>
    <t xml:space="preserve">Contrôle : total des parts</t>
  </si>
  <si>
    <t xml:space="preserve">3 · Coûts matières (en % du prix de vente)</t>
  </si>
  <si>
    <t xml:space="preserve">Coût matière boissons alcoolisées</t>
  </si>
  <si>
    <t xml:space="preserve">Coût matière boissons sans alcool</t>
  </si>
  <si>
    <t xml:space="preserve">Coût matière petite restauration</t>
  </si>
  <si>
    <t xml:space="preserve">4 · Charges de personnel</t>
  </si>
  <si>
    <t xml:space="preserve">Nombre de salariés (ETP, hors dirigeant)</t>
  </si>
  <si>
    <t xml:space="preserve">ETP</t>
  </si>
  <si>
    <t xml:space="preserve">Salaire brut annuel moyen chargé / ETP</t>
  </si>
  <si>
    <t xml:space="preserve">Rémunération annuelle du dirigeant (chargée)</t>
  </si>
  <si>
    <t xml:space="preserve">5 · Charges externes (annuelles)</t>
  </si>
  <si>
    <t xml:space="preserve">Loyer annuel (bail commercial)</t>
  </si>
  <si>
    <t xml:space="preserve">Énergie (élec, eau, gaz)</t>
  </si>
  <si>
    <t xml:space="preserve">Assurances</t>
  </si>
  <si>
    <t xml:space="preserve">Redevances (SACEM, licence, logiciel caisse)</t>
  </si>
  <si>
    <t xml:space="preserve">Marketing &amp; communication</t>
  </si>
  <si>
    <t xml:space="preserve">Entretien, petit équipement, divers</t>
  </si>
  <si>
    <t xml:space="preserve">6 · Plan de financement (au démarrage)</t>
  </si>
  <si>
    <t xml:space="preserve">Rachat du fonds de commerce (0 si création)</t>
  </si>
  <si>
    <t xml:space="preserve">Travaux &amp; agencement</t>
  </si>
  <si>
    <t xml:space="preserve">Matériel (tireuses, mobilier, froid, caisse)</t>
  </si>
  <si>
    <t xml:space="preserve">Stock initial</t>
  </si>
  <si>
    <t xml:space="preserve">Dépôt de garantie &amp; frais</t>
  </si>
  <si>
    <t xml:space="preserve">Trésorerie de démarrage souhaitée</t>
  </si>
  <si>
    <t xml:space="preserve">Apport personnel</t>
  </si>
  <si>
    <t xml:space="preserve">Taux d'intérêt de l'emprunt</t>
  </si>
  <si>
    <t xml:space="preserve">Durée de l'emprunt</t>
  </si>
  <si>
    <t xml:space="preserve">ans</t>
  </si>
  <si>
    <t xml:space="preserve">7 · Fiscalité</t>
  </si>
  <si>
    <t xml:space="preserve">Taux d'impôt sur les sociétés (simplifié)</t>
  </si>
  <si>
    <t xml:space="preserve">Croissance annuelle du CA (années 2 et 3)</t>
  </si>
  <si>
    <t xml:space="preserve">CHIFFRE D'AFFAIRES &amp; MARGES (sur 3 ans)</t>
  </si>
  <si>
    <t xml:space="preserve">Année 1</t>
  </si>
  <si>
    <t xml:space="preserve">Année 2</t>
  </si>
  <si>
    <t xml:space="preserve">Année 3</t>
  </si>
  <si>
    <t xml:space="preserve">Clients accueillis / an</t>
  </si>
  <si>
    <t xml:space="preserve">Ticket moyen</t>
  </si>
  <si>
    <t xml:space="preserve">Chiffre d'affaires par activité</t>
  </si>
  <si>
    <t xml:space="preserve">CA boissons alcoolisées (TVA 20 %)</t>
  </si>
  <si>
    <t xml:space="preserve">CA boissons sans alcool (TVA 10 %)</t>
  </si>
  <si>
    <t xml:space="preserve">CA petite restauration (TVA 10 %)</t>
  </si>
  <si>
    <t xml:space="preserve">Chiffre d'affaires total HT</t>
  </si>
  <si>
    <t xml:space="preserve">Coûts matières</t>
  </si>
  <si>
    <t xml:space="preserve">Coût matière boissons alcool</t>
  </si>
  <si>
    <t xml:space="preserve">Coût matière total</t>
  </si>
  <si>
    <t xml:space="preserve">Marge brute</t>
  </si>
  <si>
    <t xml:space="preserve">Taux de marge brute</t>
  </si>
  <si>
    <t xml:space="preserve">Food cost (coût matière / CA)</t>
  </si>
  <si>
    <t xml:space="preserve">Food cost global</t>
  </si>
  <si>
    <t xml:space="preserve">Ventilation de la TVA collectée (indicative)</t>
  </si>
  <si>
    <t xml:space="preserve">TVA à 20 % (alcool)</t>
  </si>
  <si>
    <t xml:space="preserve">TVA à 10 % (softs + food)</t>
  </si>
  <si>
    <t xml:space="preserve">COMPTE DE RÉSULTAT PRÉVISIONNEL (3 ans)</t>
  </si>
  <si>
    <t xml:space="preserve">Chiffre d'affaires HT</t>
  </si>
  <si>
    <t xml:space="preserve">Coût matière (à déduire)</t>
  </si>
  <si>
    <t xml:space="preserve">Masse salariale (dirigeant inclus)</t>
  </si>
  <si>
    <t xml:space="preserve">Charges externes</t>
  </si>
  <si>
    <t xml:space="preserve">EBE — excédent brut d'exploitation</t>
  </si>
  <si>
    <t xml:space="preserve">Marge d'EBE (% du CA)</t>
  </si>
  <si>
    <t xml:space="preserve">Amortissements</t>
  </si>
  <si>
    <t xml:space="preserve">Intérêts d'emprunt</t>
  </si>
  <si>
    <t xml:space="preserve">Résultat courant avant impôt</t>
  </si>
  <si>
    <t xml:space="preserve">Impôt sur les sociétés</t>
  </si>
  <si>
    <t xml:space="preserve">Résultat net</t>
  </si>
  <si>
    <t xml:space="preserve">PLAN DE FINANCEMENT &amp; EMPRUNT</t>
  </si>
  <si>
    <t xml:space="preserve">Besoins au démarrage</t>
  </si>
  <si>
    <t xml:space="preserve">Rachat du fonds de commerce</t>
  </si>
  <si>
    <t xml:space="preserve">Matériel</t>
  </si>
  <si>
    <t xml:space="preserve">Trésorerie de démarrage</t>
  </si>
  <si>
    <t xml:space="preserve">TOTAL DES BESOINS</t>
  </si>
  <si>
    <t xml:space="preserve">Ressources</t>
  </si>
  <si>
    <t xml:space="preserve">Emprunt bancaire</t>
  </si>
  <si>
    <t xml:space="preserve">TOTAL DES RESSOURCES</t>
  </si>
  <si>
    <t xml:space="preserve">Équilibre (doit être 0)</t>
  </si>
  <si>
    <t xml:space="preserve">Part d'apport dans le projet</t>
  </si>
  <si>
    <t xml:space="preserve">Échéancier de l'emprunt (annuités constantes)</t>
  </si>
  <si>
    <t xml:space="preserve">Montant emprunté</t>
  </si>
  <si>
    <t xml:space="preserve">Taux annuel</t>
  </si>
  <si>
    <t xml:space="preserve">Durée (ans)</t>
  </si>
  <si>
    <t xml:space="preserve">Annuité (capital + intérêts)</t>
  </si>
  <si>
    <t xml:space="preserve">Répartition sur 3 ans</t>
  </si>
  <si>
    <t xml:space="preserve">Capital restant dû (début d'année)</t>
  </si>
  <si>
    <t xml:space="preserve">Intérêts de l'année</t>
  </si>
  <si>
    <t xml:space="preserve">Capital remboursé</t>
  </si>
  <si>
    <t xml:space="preserve">TRÉSORERIE MOIS PAR MOIS (Année 1)</t>
  </si>
  <si>
    <t xml:space="preserve">Saisis la saisonnalité (poids de chaque mois, total = 100 %) — cellules bleues</t>
  </si>
  <si>
    <t xml:space="preserve">Mois</t>
  </si>
  <si>
    <t xml:space="preserve">Jan</t>
  </si>
  <si>
    <t xml:space="preserve">Fév</t>
  </si>
  <si>
    <t xml:space="preserve">Mar</t>
  </si>
  <si>
    <t xml:space="preserve">Avr</t>
  </si>
  <si>
    <t xml:space="preserve">Mai</t>
  </si>
  <si>
    <t xml:space="preserve">Juin</t>
  </si>
  <si>
    <t xml:space="preserve">Juil</t>
  </si>
  <si>
    <t xml:space="preserve">Août</t>
  </si>
  <si>
    <t xml:space="preserve">Sep</t>
  </si>
  <si>
    <t xml:space="preserve">Oct</t>
  </si>
  <si>
    <t xml:space="preserve">Nov</t>
  </si>
  <si>
    <t xml:space="preserve">Déc</t>
  </si>
  <si>
    <t xml:space="preserve">Poids du mois</t>
  </si>
  <si>
    <t xml:space="preserve">Contrôle total</t>
  </si>
  <si>
    <t xml:space="preserve">Encaissements (CA TTC approché)</t>
  </si>
  <si>
    <t xml:space="preserve">Décaissements (charges + dette)</t>
  </si>
  <si>
    <t xml:space="preserve">Flux net du mois</t>
  </si>
  <si>
    <t xml:space="preserve">Trésorerie cumulée</t>
  </si>
  <si>
    <t xml:space="preserve">Trésorerie minimale de l'année</t>
  </si>
  <si>
    <t xml:space="preserve">SYNTHÈSE &amp; VERDICT DE VIABILITÉ</t>
  </si>
  <si>
    <t xml:space="preserve">Indicateur clé</t>
  </si>
  <si>
    <t xml:space="preserve">Valeur (Année 1)</t>
  </si>
  <si>
    <t xml:space="preserve">Repère du secteur</t>
  </si>
  <si>
    <t xml:space="preserve">—</t>
  </si>
  <si>
    <t xml:space="preserve">70 – 80 %</t>
  </si>
  <si>
    <t xml:space="preserve">22 – 30 %</t>
  </si>
  <si>
    <t xml:space="preserve">Prime cost (matière + personnel)</t>
  </si>
  <si>
    <t xml:space="preserve">≤ 60 – 65 %</t>
  </si>
  <si>
    <t xml:space="preserve">Masse salariale / CA</t>
  </si>
  <si>
    <t xml:space="preserve">30 – 40 %</t>
  </si>
  <si>
    <t xml:space="preserve">Loyer / CA</t>
  </si>
  <si>
    <t xml:space="preserve">≤ 10 %</t>
  </si>
  <si>
    <t xml:space="preserve">Marge d'EBE</t>
  </si>
  <si>
    <t xml:space="preserve">&gt; 10 %</t>
  </si>
  <si>
    <t xml:space="preserve">Résultat net (Année 1)</t>
  </si>
  <si>
    <t xml:space="preserve">&gt; 0</t>
  </si>
  <si>
    <t xml:space="preserve">Annuité / EBE</t>
  </si>
  <si>
    <t xml:space="preserve">≤ 70 – 80 %</t>
  </si>
  <si>
    <t xml:space="preserve">Trésorerie minimale (Année 1)</t>
  </si>
  <si>
    <t xml:space="preserve">Valorisation indicative du fonds</t>
  </si>
  <si>
    <t xml:space="preserve">≈ 3 × EBE</t>
  </si>
  <si>
    <t xml:space="preserve">VERDICT DE VIABILITÉ</t>
  </si>
  <si>
    <t xml:space="preserve">Mix de vente</t>
  </si>
  <si>
    <t xml:space="preserve">Plan de financement</t>
  </si>
  <si>
    <t xml:space="preserve">Prime cost</t>
  </si>
  <si>
    <t xml:space="preserve">Trésorerie</t>
  </si>
  <si>
    <t xml:space="preserve">Rentabilité</t>
  </si>
  <si>
    <t xml:space="preserve">Soutenabilité de la dette</t>
  </si>
  <si>
    <t xml:space="preserve">Rappel : ce modèle est un point de départ. Fais fiabiliser tes hypothèses par un expert-comptable avant de présenter ton dossier à la banque.  ComptaCool — comptacool.fr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</si>
</sst>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0.0%;\(0.0%\);\-"/>
    <numFmt numFmtId="167" formatCode="0.0"/>
    <numFmt numFmtId="168" formatCode="#,##0&quot; €&quot;"/>
    <numFmt numFmtId="169" formatCode="#,##0&quot; €&quot;;\(#,##0&quot; €)&quot;;\-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8A3320"/>
      <name val="Arial"/>
      <family val="0"/>
      <charset val="1"/>
    </font>
    <font>
      <i val="true"/>
      <sz val="12"/>
      <color rgb="FFC0492B"/>
      <name val="Arial"/>
      <family val="0"/>
      <charset val="1"/>
    </font>
    <font>
      <sz val="11"/>
      <color rgb="FF2A1C16"/>
      <name val="Arial"/>
      <family val="0"/>
      <charset val="1"/>
    </font>
    <font>
      <b val="true"/>
      <sz val="12"/>
      <color rgb="FF8A3320"/>
      <name val="Arial"/>
      <family val="0"/>
      <charset val="1"/>
    </font>
    <font>
      <i val="true"/>
      <sz val="10.5"/>
      <color rgb="FF5E4A4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8A332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0"/>
      <color rgb="FF5E4A40"/>
      <name val="Arial"/>
      <family val="0"/>
      <charset val="1"/>
    </font>
    <font>
      <b val="true"/>
      <sz val="11"/>
      <color rgb="FF2A1C16"/>
      <name val="Arial"/>
      <family val="0"/>
      <charset val="1"/>
    </font>
    <font>
      <sz val="10"/>
      <name val="Arial"/>
      <family val="2"/>
    </font>
    <font>
      <b val="true"/>
      <sz val="11"/>
      <color rgb="FFFFFFFF"/>
      <name val="Arial"/>
      <family val="0"/>
      <charset val="1"/>
    </font>
    <font>
      <b val="true"/>
      <sz val="11"/>
      <color rgb="FF008000"/>
      <name val="Arial"/>
      <family val="0"/>
      <charset val="1"/>
    </font>
    <font>
      <sz val="11"/>
      <color rgb="FF008000"/>
      <name val="Arial"/>
      <family val="0"/>
      <charset val="1"/>
    </font>
    <font>
      <sz val="10.5"/>
      <color rgb="FF5E4A40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8A3320"/>
        <bgColor rgb="FF993366"/>
      </patternFill>
    </fill>
    <fill>
      <patternFill patternType="solid">
        <fgColor rgb="FFF0E3D8"/>
        <bgColor rgb="FFEAF1FB"/>
      </patternFill>
    </fill>
    <fill>
      <patternFill patternType="solid">
        <fgColor rgb="FFEAF1FB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C9BC"/>
      </left>
      <right style="thin">
        <color rgb="FFD9C9BC"/>
      </right>
      <top style="thin">
        <color rgb="FFD9C9BC"/>
      </top>
      <bottom style="thin">
        <color rgb="FFD9C9BC"/>
      </bottom>
      <diagonal/>
    </border>
    <border diagonalUp="false" diagonalDown="false">
      <left style="thin">
        <color rgb="FFD9C9BC"/>
      </left>
      <right/>
      <top style="thin">
        <color rgb="FFD9C9BC"/>
      </top>
      <bottom style="thin">
        <color rgb="FFD9C9B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C9BC"/>
      <rgbColor rgb="FF808080"/>
      <rgbColor rgb="FF9999FF"/>
      <rgbColor rgb="FFC0492B"/>
      <rgbColor rgb="FFF0E3D8"/>
      <rgbColor rgb="FFEAF1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A1C16"/>
      <rgbColor rgb="FF8A3320"/>
      <rgbColor rgb="FF993366"/>
      <rgbColor rgb="FF333399"/>
      <rgbColor rgb="FF5E4A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8"/>
    <col collapsed="false" customWidth="true" hidden="false" outlineLevel="0" max="5" min="3" style="1" width="18"/>
    <col collapsed="false" customWidth="true" hidden="false" outlineLevel="0" max="6" min="6" style="1" width="3"/>
  </cols>
  <sheetData>
    <row r="2" customFormat="false" ht="30" hidden="false" customHeight="true" outlineLevel="0" collapsed="false">
      <c r="B2" s="2" t="s">
        <v>0</v>
      </c>
      <c r="C2" s="2"/>
      <c r="D2" s="2"/>
      <c r="E2" s="2"/>
    </row>
    <row r="3" customFormat="false" ht="15" hidden="false" customHeight="true" outlineLevel="0" collapsed="false">
      <c r="B3" s="3" t="s">
        <v>1</v>
      </c>
      <c r="C3" s="3"/>
      <c r="D3" s="3"/>
      <c r="E3" s="3"/>
    </row>
    <row r="5" customFormat="false" ht="6" hidden="false" customHeight="true" outlineLevel="0" collapsed="false">
      <c r="B5" s="4"/>
      <c r="C5" s="4"/>
      <c r="D5" s="4"/>
      <c r="E5" s="4"/>
    </row>
    <row r="6" customFormat="false" ht="15" hidden="false" customHeight="true" outlineLevel="0" collapsed="false">
      <c r="B6" s="5" t="s">
        <v>2</v>
      </c>
      <c r="C6" s="5"/>
      <c r="D6" s="5"/>
      <c r="E6" s="5"/>
    </row>
    <row r="7" customFormat="false" ht="15" hidden="false" customHeight="true" outlineLevel="0" collapsed="false">
      <c r="B7" s="4" t="s">
        <v>3</v>
      </c>
      <c r="C7" s="4"/>
      <c r="D7" s="4"/>
      <c r="E7" s="4"/>
    </row>
    <row r="8" customFormat="false" ht="26.25" hidden="false" customHeight="true" outlineLevel="0" collapsed="false">
      <c r="B8" s="4" t="s">
        <v>4</v>
      </c>
      <c r="C8" s="4"/>
      <c r="D8" s="4"/>
      <c r="E8" s="4"/>
    </row>
    <row r="9" customFormat="false" ht="6" hidden="false" customHeight="true" outlineLevel="0" collapsed="false">
      <c r="B9" s="4"/>
      <c r="C9" s="4"/>
      <c r="D9" s="4"/>
      <c r="E9" s="4"/>
    </row>
    <row r="10" customFormat="false" ht="15" hidden="false" customHeight="true" outlineLevel="0" collapsed="false">
      <c r="B10" s="5" t="s">
        <v>5</v>
      </c>
      <c r="C10" s="5"/>
      <c r="D10" s="5"/>
      <c r="E10" s="5"/>
    </row>
    <row r="11" customFormat="false" ht="15" hidden="false" customHeight="true" outlineLevel="0" collapsed="false">
      <c r="B11" s="4" t="s">
        <v>6</v>
      </c>
      <c r="C11" s="4"/>
      <c r="D11" s="4"/>
      <c r="E11" s="4"/>
    </row>
    <row r="12" customFormat="false" ht="15" hidden="false" customHeight="true" outlineLevel="0" collapsed="false">
      <c r="B12" s="4" t="s">
        <v>7</v>
      </c>
      <c r="C12" s="4"/>
      <c r="D12" s="4"/>
      <c r="E12" s="4"/>
    </row>
    <row r="13" customFormat="false" ht="15" hidden="false" customHeight="true" outlineLevel="0" collapsed="false">
      <c r="B13" s="4" t="s">
        <v>8</v>
      </c>
      <c r="C13" s="4"/>
      <c r="D13" s="4"/>
      <c r="E13" s="4"/>
    </row>
    <row r="14" customFormat="false" ht="6" hidden="false" customHeight="true" outlineLevel="0" collapsed="false">
      <c r="B14" s="4"/>
      <c r="C14" s="4"/>
      <c r="D14" s="4"/>
      <c r="E14" s="4"/>
    </row>
    <row r="15" customFormat="false" ht="15" hidden="false" customHeight="true" outlineLevel="0" collapsed="false">
      <c r="B15" s="5" t="s">
        <v>9</v>
      </c>
      <c r="C15" s="5"/>
      <c r="D15" s="5"/>
      <c r="E15" s="5"/>
    </row>
    <row r="16" customFormat="false" ht="15" hidden="false" customHeight="true" outlineLevel="0" collapsed="false">
      <c r="B16" s="4" t="s">
        <v>10</v>
      </c>
      <c r="C16" s="4"/>
      <c r="D16" s="4"/>
      <c r="E16" s="4"/>
    </row>
    <row r="17" customFormat="false" ht="15" hidden="false" customHeight="true" outlineLevel="0" collapsed="false">
      <c r="B17" s="4" t="s">
        <v>11</v>
      </c>
      <c r="C17" s="4"/>
      <c r="D17" s="4"/>
      <c r="E17" s="4"/>
    </row>
    <row r="18" customFormat="false" ht="15" hidden="false" customHeight="true" outlineLevel="0" collapsed="false">
      <c r="B18" s="4" t="s">
        <v>12</v>
      </c>
      <c r="C18" s="4"/>
      <c r="D18" s="4"/>
      <c r="E18" s="4"/>
    </row>
    <row r="19" customFormat="false" ht="15" hidden="false" customHeight="true" outlineLevel="0" collapsed="false">
      <c r="B19" s="4" t="s">
        <v>13</v>
      </c>
      <c r="C19" s="4"/>
      <c r="D19" s="4"/>
      <c r="E19" s="4"/>
    </row>
    <row r="20" customFormat="false" ht="15" hidden="false" customHeight="true" outlineLevel="0" collapsed="false">
      <c r="B20" s="4" t="s">
        <v>14</v>
      </c>
      <c r="C20" s="4"/>
      <c r="D20" s="4"/>
      <c r="E20" s="4"/>
    </row>
    <row r="21" customFormat="false" ht="6" hidden="false" customHeight="true" outlineLevel="0" collapsed="false">
      <c r="B21" s="4"/>
      <c r="C21" s="4"/>
      <c r="D21" s="4"/>
      <c r="E21" s="4"/>
    </row>
    <row r="22" customFormat="false" ht="15" hidden="false" customHeight="true" outlineLevel="0" collapsed="false">
      <c r="B22" s="5" t="s">
        <v>15</v>
      </c>
      <c r="C22" s="5"/>
      <c r="D22" s="5"/>
      <c r="E22" s="5"/>
    </row>
    <row r="23" customFormat="false" ht="15" hidden="false" customHeight="true" outlineLevel="0" collapsed="false">
      <c r="B23" s="4" t="s">
        <v>16</v>
      </c>
      <c r="C23" s="4"/>
      <c r="D23" s="4"/>
      <c r="E23" s="4"/>
    </row>
    <row r="24" customFormat="false" ht="15" hidden="false" customHeight="true" outlineLevel="0" collapsed="false">
      <c r="B24" s="4" t="s">
        <v>17</v>
      </c>
      <c r="C24" s="4"/>
      <c r="D24" s="4"/>
      <c r="E24" s="4"/>
    </row>
    <row r="25" customFormat="false" ht="15" hidden="false" customHeight="true" outlineLevel="0" collapsed="false">
      <c r="B25" s="4" t="s">
        <v>18</v>
      </c>
      <c r="C25" s="4"/>
      <c r="D25" s="4"/>
      <c r="E25" s="4"/>
    </row>
    <row r="26" customFormat="false" ht="6" hidden="false" customHeight="true" outlineLevel="0" collapsed="false">
      <c r="B26" s="4"/>
      <c r="C26" s="4"/>
      <c r="D26" s="4"/>
      <c r="E26" s="4"/>
    </row>
    <row r="27" customFormat="false" ht="15" hidden="false" customHeight="true" outlineLevel="0" collapsed="false">
      <c r="B27" s="6" t="s">
        <v>19</v>
      </c>
      <c r="C27" s="6"/>
      <c r="D27" s="6"/>
      <c r="E27" s="6"/>
    </row>
    <row r="28" customFormat="false" ht="15" hidden="false" customHeight="true" outlineLevel="0" collapsed="false">
      <c r="B28" s="6" t="s">
        <v>20</v>
      </c>
      <c r="C28" s="6"/>
      <c r="D28" s="6"/>
      <c r="E28" s="6"/>
    </row>
  </sheetData>
  <mergeCells count="26">
    <mergeCell ref="B2:E2"/>
    <mergeCell ref="B3:E3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6"/>
    <col collapsed="false" customWidth="true" hidden="false" outlineLevel="0" max="5" min="3" style="1" width="20"/>
    <col collapsed="false" customWidth="true" hidden="false" outlineLevel="0" max="6" min="6" style="1" width="3"/>
  </cols>
  <sheetData>
    <row r="1" customFormat="false" ht="25.5" hidden="false" customHeight="true" outlineLevel="0" collapsed="false">
      <c r="A1" s="7" t="s">
        <v>21</v>
      </c>
      <c r="B1" s="7"/>
      <c r="C1" s="7"/>
      <c r="D1" s="7"/>
      <c r="E1" s="7"/>
      <c r="F1" s="7"/>
    </row>
    <row r="3" customFormat="false" ht="19.5" hidden="false" customHeight="true" outlineLevel="0" collapsed="false">
      <c r="A3" s="8" t="s">
        <v>22</v>
      </c>
      <c r="B3" s="8"/>
      <c r="C3" s="8"/>
      <c r="D3" s="8"/>
      <c r="E3" s="8"/>
      <c r="F3" s="8"/>
    </row>
    <row r="4" customFormat="false" ht="15" hidden="false" customHeight="true" outlineLevel="0" collapsed="false">
      <c r="B4" s="9" t="s">
        <v>23</v>
      </c>
      <c r="C4" s="10" t="n">
        <v>45</v>
      </c>
    </row>
    <row r="5" customFormat="false" ht="15" hidden="false" customHeight="true" outlineLevel="0" collapsed="false">
      <c r="B5" s="9" t="s">
        <v>24</v>
      </c>
      <c r="C5" s="10" t="n">
        <v>6</v>
      </c>
      <c r="D5" s="11" t="s">
        <v>25</v>
      </c>
    </row>
    <row r="6" customFormat="false" ht="15" hidden="false" customHeight="true" outlineLevel="0" collapsed="false">
      <c r="B6" s="9" t="s">
        <v>26</v>
      </c>
      <c r="C6" s="10" t="n">
        <v>50</v>
      </c>
      <c r="D6" s="11" t="s">
        <v>27</v>
      </c>
    </row>
    <row r="7" customFormat="false" ht="15" hidden="false" customHeight="true" outlineLevel="0" collapsed="false">
      <c r="B7" s="9" t="s">
        <v>28</v>
      </c>
      <c r="C7" s="12" t="n">
        <v>0.6</v>
      </c>
    </row>
    <row r="8" customFormat="false" ht="15" hidden="false" customHeight="true" outlineLevel="0" collapsed="false">
      <c r="B8" s="9" t="s">
        <v>29</v>
      </c>
      <c r="C8" s="13" t="n">
        <v>2.6</v>
      </c>
      <c r="D8" s="11" t="s">
        <v>30</v>
      </c>
    </row>
    <row r="10" customFormat="false" ht="19.5" hidden="false" customHeight="true" outlineLevel="0" collapsed="false">
      <c r="A10" s="8" t="s">
        <v>31</v>
      </c>
      <c r="B10" s="8"/>
      <c r="C10" s="8"/>
      <c r="D10" s="8"/>
      <c r="E10" s="8"/>
      <c r="F10" s="8"/>
    </row>
    <row r="11" customFormat="false" ht="15" hidden="false" customHeight="true" outlineLevel="0" collapsed="false">
      <c r="B11" s="9" t="s">
        <v>32</v>
      </c>
      <c r="C11" s="14" t="n">
        <v>13.5</v>
      </c>
    </row>
    <row r="12" customFormat="false" ht="15" hidden="false" customHeight="true" outlineLevel="0" collapsed="false">
      <c r="B12" s="9" t="s">
        <v>33</v>
      </c>
      <c r="C12" s="12" t="n">
        <v>0.62</v>
      </c>
    </row>
    <row r="13" customFormat="false" ht="15" hidden="false" customHeight="true" outlineLevel="0" collapsed="false">
      <c r="B13" s="9" t="s">
        <v>34</v>
      </c>
      <c r="C13" s="12" t="n">
        <v>0.23</v>
      </c>
    </row>
    <row r="14" customFormat="false" ht="15" hidden="false" customHeight="true" outlineLevel="0" collapsed="false">
      <c r="B14" s="9" t="s">
        <v>35</v>
      </c>
      <c r="C14" s="12" t="n">
        <v>0.15</v>
      </c>
    </row>
    <row r="15" customFormat="false" ht="15" hidden="false" customHeight="true" outlineLevel="0" collapsed="false">
      <c r="B15" s="15" t="s">
        <v>36</v>
      </c>
      <c r="C15" s="16" t="n">
        <f aca="false">Hypothèses!C12+Hypothèses!C13+Hypothèses!C14</f>
        <v>1</v>
      </c>
    </row>
    <row r="17" customFormat="false" ht="19.5" hidden="false" customHeight="true" outlineLevel="0" collapsed="false">
      <c r="A17" s="8" t="s">
        <v>37</v>
      </c>
      <c r="B17" s="8"/>
      <c r="C17" s="8"/>
      <c r="D17" s="8"/>
      <c r="E17" s="8"/>
      <c r="F17" s="8"/>
    </row>
    <row r="18" customFormat="false" ht="15" hidden="false" customHeight="true" outlineLevel="0" collapsed="false">
      <c r="B18" s="9" t="s">
        <v>38</v>
      </c>
      <c r="C18" s="12" t="n">
        <v>0.24</v>
      </c>
    </row>
    <row r="19" customFormat="false" ht="15" hidden="false" customHeight="true" outlineLevel="0" collapsed="false">
      <c r="B19" s="9" t="s">
        <v>39</v>
      </c>
      <c r="C19" s="12" t="n">
        <v>0.2</v>
      </c>
    </row>
    <row r="20" customFormat="false" ht="15" hidden="false" customHeight="true" outlineLevel="0" collapsed="false">
      <c r="B20" s="9" t="s">
        <v>40</v>
      </c>
      <c r="C20" s="12" t="n">
        <v>0.32</v>
      </c>
    </row>
    <row r="22" customFormat="false" ht="19.5" hidden="false" customHeight="true" outlineLevel="0" collapsed="false">
      <c r="A22" s="8" t="s">
        <v>41</v>
      </c>
      <c r="B22" s="8"/>
      <c r="C22" s="8"/>
      <c r="D22" s="8"/>
      <c r="E22" s="8"/>
      <c r="F22" s="8"/>
    </row>
    <row r="23" customFormat="false" ht="15" hidden="false" customHeight="true" outlineLevel="0" collapsed="false">
      <c r="B23" s="9" t="s">
        <v>42</v>
      </c>
      <c r="C23" s="13" t="n">
        <v>2.5</v>
      </c>
      <c r="D23" s="11" t="s">
        <v>43</v>
      </c>
    </row>
    <row r="24" customFormat="false" ht="15" hidden="false" customHeight="true" outlineLevel="0" collapsed="false">
      <c r="B24" s="9" t="s">
        <v>44</v>
      </c>
      <c r="C24" s="14" t="n">
        <v>30000</v>
      </c>
    </row>
    <row r="25" customFormat="false" ht="15" hidden="false" customHeight="true" outlineLevel="0" collapsed="false">
      <c r="B25" s="9" t="s">
        <v>45</v>
      </c>
      <c r="C25" s="14" t="n">
        <v>28000</v>
      </c>
    </row>
    <row r="27" customFormat="false" ht="19.5" hidden="false" customHeight="true" outlineLevel="0" collapsed="false">
      <c r="A27" s="8" t="s">
        <v>46</v>
      </c>
      <c r="B27" s="8"/>
      <c r="C27" s="8"/>
      <c r="D27" s="8"/>
      <c r="E27" s="8"/>
      <c r="F27" s="8"/>
    </row>
    <row r="28" customFormat="false" ht="15" hidden="false" customHeight="true" outlineLevel="0" collapsed="false">
      <c r="B28" s="9" t="s">
        <v>47</v>
      </c>
      <c r="C28" s="14" t="n">
        <v>30000</v>
      </c>
    </row>
    <row r="29" customFormat="false" ht="15" hidden="false" customHeight="true" outlineLevel="0" collapsed="false">
      <c r="B29" s="9" t="s">
        <v>48</v>
      </c>
      <c r="C29" s="14" t="n">
        <v>9000</v>
      </c>
    </row>
    <row r="30" customFormat="false" ht="15" hidden="false" customHeight="true" outlineLevel="0" collapsed="false">
      <c r="B30" s="9" t="s">
        <v>49</v>
      </c>
      <c r="C30" s="14" t="n">
        <v>4500</v>
      </c>
    </row>
    <row r="31" customFormat="false" ht="15" hidden="false" customHeight="true" outlineLevel="0" collapsed="false">
      <c r="B31" s="9" t="s">
        <v>50</v>
      </c>
      <c r="C31" s="14" t="n">
        <v>4000</v>
      </c>
    </row>
    <row r="32" customFormat="false" ht="15" hidden="false" customHeight="true" outlineLevel="0" collapsed="false">
      <c r="B32" s="9" t="s">
        <v>51</v>
      </c>
      <c r="C32" s="14" t="n">
        <v>3500</v>
      </c>
    </row>
    <row r="33" customFormat="false" ht="15" hidden="false" customHeight="true" outlineLevel="0" collapsed="false">
      <c r="B33" s="9" t="s">
        <v>52</v>
      </c>
      <c r="C33" s="14" t="n">
        <v>6000</v>
      </c>
    </row>
    <row r="35" customFormat="false" ht="19.5" hidden="false" customHeight="true" outlineLevel="0" collapsed="false">
      <c r="A35" s="8" t="s">
        <v>53</v>
      </c>
      <c r="B35" s="8"/>
      <c r="C35" s="8"/>
      <c r="D35" s="8"/>
      <c r="E35" s="8"/>
      <c r="F35" s="8"/>
    </row>
    <row r="36" customFormat="false" ht="15" hidden="false" customHeight="true" outlineLevel="0" collapsed="false">
      <c r="B36" s="9" t="s">
        <v>54</v>
      </c>
      <c r="C36" s="14" t="n">
        <v>120000</v>
      </c>
    </row>
    <row r="37" customFormat="false" ht="15" hidden="false" customHeight="true" outlineLevel="0" collapsed="false">
      <c r="B37" s="9" t="s">
        <v>55</v>
      </c>
      <c r="C37" s="14" t="n">
        <v>40000</v>
      </c>
    </row>
    <row r="38" customFormat="false" ht="15" hidden="false" customHeight="true" outlineLevel="0" collapsed="false">
      <c r="B38" s="9" t="s">
        <v>56</v>
      </c>
      <c r="C38" s="14" t="n">
        <v>35000</v>
      </c>
    </row>
    <row r="39" customFormat="false" ht="15" hidden="false" customHeight="true" outlineLevel="0" collapsed="false">
      <c r="B39" s="9" t="s">
        <v>57</v>
      </c>
      <c r="C39" s="14" t="n">
        <v>8000</v>
      </c>
    </row>
    <row r="40" customFormat="false" ht="15" hidden="false" customHeight="true" outlineLevel="0" collapsed="false">
      <c r="B40" s="9" t="s">
        <v>58</v>
      </c>
      <c r="C40" s="14" t="n">
        <v>10000</v>
      </c>
    </row>
    <row r="41" customFormat="false" ht="15" hidden="false" customHeight="true" outlineLevel="0" collapsed="false">
      <c r="B41" s="9" t="s">
        <v>59</v>
      </c>
      <c r="C41" s="14" t="n">
        <v>15000</v>
      </c>
    </row>
    <row r="42" customFormat="false" ht="15" hidden="false" customHeight="true" outlineLevel="0" collapsed="false">
      <c r="B42" s="9" t="s">
        <v>60</v>
      </c>
      <c r="C42" s="14" t="n">
        <v>70000</v>
      </c>
    </row>
    <row r="43" customFormat="false" ht="15" hidden="false" customHeight="true" outlineLevel="0" collapsed="false">
      <c r="B43" s="9" t="s">
        <v>61</v>
      </c>
      <c r="C43" s="12" t="n">
        <v>0.045</v>
      </c>
    </row>
    <row r="44" customFormat="false" ht="15" hidden="false" customHeight="true" outlineLevel="0" collapsed="false">
      <c r="B44" s="9" t="s">
        <v>62</v>
      </c>
      <c r="C44" s="10" t="n">
        <v>7</v>
      </c>
      <c r="D44" s="11" t="s">
        <v>63</v>
      </c>
    </row>
    <row r="46" customFormat="false" ht="19.5" hidden="false" customHeight="true" outlineLevel="0" collapsed="false">
      <c r="A46" s="8" t="s">
        <v>64</v>
      </c>
      <c r="B46" s="8"/>
      <c r="C46" s="8"/>
      <c r="D46" s="8"/>
      <c r="E46" s="8"/>
      <c r="F46" s="8"/>
    </row>
    <row r="47" customFormat="false" ht="15" hidden="false" customHeight="true" outlineLevel="0" collapsed="false">
      <c r="B47" s="9" t="s">
        <v>65</v>
      </c>
      <c r="C47" s="12" t="n">
        <v>0.25</v>
      </c>
    </row>
    <row r="48" customFormat="false" ht="15" hidden="false" customHeight="true" outlineLevel="0" collapsed="false">
      <c r="B48" s="9" t="s">
        <v>66</v>
      </c>
      <c r="C48" s="12" t="n">
        <v>0.06</v>
      </c>
    </row>
  </sheetData>
  <mergeCells count="8">
    <mergeCell ref="A1:F1"/>
    <mergeCell ref="A3:F3"/>
    <mergeCell ref="A10:F10"/>
    <mergeCell ref="A17:F17"/>
    <mergeCell ref="A22:F22"/>
    <mergeCell ref="A27:F27"/>
    <mergeCell ref="A35:F35"/>
    <mergeCell ref="A46:F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5" min="3" style="1" width="20"/>
    <col collapsed="false" customWidth="true" hidden="false" outlineLevel="0" max="6" min="6" style="1" width="3"/>
  </cols>
  <sheetData>
    <row r="1" customFormat="false" ht="25.5" hidden="false" customHeight="true" outlineLevel="0" collapsed="false">
      <c r="A1" s="7" t="s">
        <v>67</v>
      </c>
      <c r="B1" s="7"/>
      <c r="C1" s="7"/>
      <c r="D1" s="7"/>
      <c r="E1" s="7"/>
      <c r="F1" s="7"/>
    </row>
    <row r="3" customFormat="false" ht="15" hidden="false" customHeight="true" outlineLevel="0" collapsed="false">
      <c r="B3" s="15"/>
      <c r="C3" s="17" t="s">
        <v>68</v>
      </c>
      <c r="D3" s="17" t="s">
        <v>69</v>
      </c>
      <c r="E3" s="17" t="s">
        <v>70</v>
      </c>
    </row>
    <row r="4" customFormat="false" ht="15" hidden="false" customHeight="true" outlineLevel="0" collapsed="false">
      <c r="B4" s="9" t="s">
        <v>71</v>
      </c>
      <c r="C4" s="18" t="n">
        <f aca="false">ROUND((Hypothèses!C4*Hypothèses!C7*Hypothèses!C8*Hypothèses!C5*Hypothèses!C6),0)</f>
        <v>21060</v>
      </c>
      <c r="D4" s="18" t="n">
        <f aca="false">ROUND(C4*(1+Hypothèses!C48),0)</f>
        <v>22324</v>
      </c>
      <c r="E4" s="18" t="n">
        <f aca="false">ROUND(D4*(1+Hypothèses!C48),0)</f>
        <v>23663</v>
      </c>
    </row>
    <row r="5" customFormat="false" ht="15" hidden="false" customHeight="true" outlineLevel="0" collapsed="false">
      <c r="B5" s="9" t="s">
        <v>72</v>
      </c>
      <c r="C5" s="19" t="n">
        <f aca="false">Hypothèses!C11</f>
        <v>13.5</v>
      </c>
      <c r="D5" s="19" t="n">
        <f aca="false">Hypothèses!C11</f>
        <v>13.5</v>
      </c>
      <c r="E5" s="19" t="n">
        <f aca="false">Hypothèses!C11</f>
        <v>13.5</v>
      </c>
    </row>
    <row r="6" customFormat="false" ht="19.5" hidden="false" customHeight="true" outlineLevel="0" collapsed="false">
      <c r="A6" s="8" t="s">
        <v>73</v>
      </c>
      <c r="B6" s="8"/>
      <c r="C6" s="8"/>
      <c r="D6" s="8"/>
      <c r="E6" s="8"/>
      <c r="F6" s="8"/>
    </row>
    <row r="7" customFormat="false" ht="15" hidden="false" customHeight="true" outlineLevel="0" collapsed="false">
      <c r="B7" s="9" t="s">
        <v>74</v>
      </c>
      <c r="C7" s="20" t="n">
        <f aca="false">C4*C5*Hypothèses!C12</f>
        <v>176272.2</v>
      </c>
      <c r="D7" s="20" t="n">
        <f aca="false">D4*D5*Hypothèses!C12</f>
        <v>186851.88</v>
      </c>
      <c r="E7" s="20" t="n">
        <f aca="false">E4*E5*Hypothèses!C12</f>
        <v>198059.31</v>
      </c>
    </row>
    <row r="8" customFormat="false" ht="15" hidden="false" customHeight="true" outlineLevel="0" collapsed="false">
      <c r="B8" s="9" t="s">
        <v>75</v>
      </c>
      <c r="C8" s="20" t="n">
        <f aca="false">C4*C5*Hypothèses!C13</f>
        <v>65391.3</v>
      </c>
      <c r="D8" s="20" t="n">
        <f aca="false">D4*D5*Hypothèses!C13</f>
        <v>69316.02</v>
      </c>
      <c r="E8" s="20" t="n">
        <f aca="false">E4*E5*Hypothèses!C13</f>
        <v>73473.615</v>
      </c>
    </row>
    <row r="9" customFormat="false" ht="15" hidden="false" customHeight="true" outlineLevel="0" collapsed="false">
      <c r="B9" s="9" t="s">
        <v>76</v>
      </c>
      <c r="C9" s="20" t="n">
        <f aca="false">C4*C5*Hypothèses!C14</f>
        <v>42646.5</v>
      </c>
      <c r="D9" s="20" t="n">
        <f aca="false">D4*D5*Hypothèses!C14</f>
        <v>45206.1</v>
      </c>
      <c r="E9" s="20" t="n">
        <f aca="false">E4*E5*Hypothèses!C14</f>
        <v>47917.575</v>
      </c>
    </row>
    <row r="10" customFormat="false" ht="15" hidden="false" customHeight="true" outlineLevel="0" collapsed="false">
      <c r="B10" s="15" t="s">
        <v>77</v>
      </c>
      <c r="C10" s="21" t="n">
        <f aca="false">C7+C8+C9</f>
        <v>284310</v>
      </c>
      <c r="D10" s="21" t="n">
        <f aca="false">D7+D8+D9</f>
        <v>301374</v>
      </c>
      <c r="E10" s="21" t="n">
        <f aca="false">E7+E8+E9</f>
        <v>319450.5</v>
      </c>
    </row>
    <row r="12" customFormat="false" ht="19.5" hidden="false" customHeight="true" outlineLevel="0" collapsed="false">
      <c r="A12" s="8" t="s">
        <v>78</v>
      </c>
      <c r="B12" s="8"/>
      <c r="C12" s="8"/>
      <c r="D12" s="8"/>
      <c r="E12" s="8"/>
      <c r="F12" s="8"/>
    </row>
    <row r="13" customFormat="false" ht="15" hidden="false" customHeight="true" outlineLevel="0" collapsed="false">
      <c r="B13" s="9" t="s">
        <v>79</v>
      </c>
      <c r="C13" s="20" t="n">
        <f aca="false">C7*Hypothèses!C18</f>
        <v>42305.328</v>
      </c>
      <c r="D13" s="20" t="n">
        <f aca="false">D7*Hypothèses!C18</f>
        <v>44844.4512</v>
      </c>
      <c r="E13" s="20" t="n">
        <f aca="false">E7*Hypothèses!C18</f>
        <v>47534.2344</v>
      </c>
    </row>
    <row r="14" customFormat="false" ht="15" hidden="false" customHeight="true" outlineLevel="0" collapsed="false">
      <c r="B14" s="9" t="s">
        <v>39</v>
      </c>
      <c r="C14" s="20" t="n">
        <f aca="false">C8*Hypothèses!C19</f>
        <v>13078.26</v>
      </c>
      <c r="D14" s="20" t="n">
        <f aca="false">D8*Hypothèses!C19</f>
        <v>13863.204</v>
      </c>
      <c r="E14" s="20" t="n">
        <f aca="false">E8*Hypothèses!C19</f>
        <v>14694.723</v>
      </c>
    </row>
    <row r="15" customFormat="false" ht="15" hidden="false" customHeight="true" outlineLevel="0" collapsed="false">
      <c r="B15" s="9" t="s">
        <v>40</v>
      </c>
      <c r="C15" s="20" t="n">
        <f aca="false">C9*Hypothèses!C20</f>
        <v>13646.88</v>
      </c>
      <c r="D15" s="20" t="n">
        <f aca="false">D9*Hypothèses!C20</f>
        <v>14465.952</v>
      </c>
      <c r="E15" s="20" t="n">
        <f aca="false">E9*Hypothèses!C20</f>
        <v>15333.624</v>
      </c>
    </row>
    <row r="16" customFormat="false" ht="15" hidden="false" customHeight="true" outlineLevel="0" collapsed="false">
      <c r="B16" s="15" t="s">
        <v>80</v>
      </c>
      <c r="C16" s="22" t="n">
        <f aca="false">C13+C14+C15</f>
        <v>69030.468</v>
      </c>
      <c r="D16" s="22" t="n">
        <f aca="false">D13+D14+D15</f>
        <v>73173.6072</v>
      </c>
      <c r="E16" s="22" t="n">
        <f aca="false">E13+E14+E15</f>
        <v>77562.5814</v>
      </c>
    </row>
    <row r="17" customFormat="false" ht="15" hidden="false" customHeight="true" outlineLevel="0" collapsed="false">
      <c r="B17" s="15" t="s">
        <v>81</v>
      </c>
      <c r="C17" s="21" t="n">
        <f aca="false">C10-C16</f>
        <v>215279.532</v>
      </c>
      <c r="D17" s="21" t="n">
        <f aca="false">D10-D16</f>
        <v>228200.3928</v>
      </c>
      <c r="E17" s="21" t="n">
        <f aca="false">E10-E16</f>
        <v>241887.9186</v>
      </c>
    </row>
    <row r="18" customFormat="false" ht="15" hidden="false" customHeight="true" outlineLevel="0" collapsed="false">
      <c r="B18" s="9" t="s">
        <v>82</v>
      </c>
      <c r="C18" s="23" t="n">
        <f aca="false">IF(C10=0,0,C17/C10)</f>
        <v>0.7572</v>
      </c>
      <c r="D18" s="23" t="n">
        <f aca="false">IF(D10=0,0,D17/D10)</f>
        <v>0.7572</v>
      </c>
      <c r="E18" s="23" t="n">
        <f aca="false">IF(E10=0,0,E17/E10)</f>
        <v>0.7572</v>
      </c>
    </row>
    <row r="20" customFormat="false" ht="19.5" hidden="false" customHeight="true" outlineLevel="0" collapsed="false">
      <c r="A20" s="8" t="s">
        <v>83</v>
      </c>
      <c r="B20" s="8"/>
      <c r="C20" s="8"/>
      <c r="D20" s="8"/>
      <c r="E20" s="8"/>
      <c r="F20" s="8"/>
    </row>
    <row r="21" customFormat="false" ht="15" hidden="false" customHeight="true" outlineLevel="0" collapsed="false">
      <c r="B21" s="9" t="s">
        <v>84</v>
      </c>
      <c r="C21" s="23" t="n">
        <f aca="false">IF(C10=0,0,C16/C10)</f>
        <v>0.2428</v>
      </c>
      <c r="D21" s="23" t="n">
        <f aca="false">IF(D10=0,0,D16/D10)</f>
        <v>0.2428</v>
      </c>
      <c r="E21" s="23" t="n">
        <f aca="false">IF(E10=0,0,E16/E10)</f>
        <v>0.2428</v>
      </c>
    </row>
    <row r="23" customFormat="false" ht="19.5" hidden="false" customHeight="true" outlineLevel="0" collapsed="false">
      <c r="A23" s="8" t="s">
        <v>85</v>
      </c>
      <c r="B23" s="8"/>
      <c r="C23" s="8"/>
      <c r="D23" s="8"/>
      <c r="E23" s="8"/>
      <c r="F23" s="8"/>
    </row>
    <row r="24" customFormat="false" ht="15" hidden="false" customHeight="true" outlineLevel="0" collapsed="false">
      <c r="B24" s="9" t="s">
        <v>86</v>
      </c>
      <c r="C24" s="20" t="n">
        <f aca="false">C7*0.2</f>
        <v>35254.44</v>
      </c>
      <c r="D24" s="20" t="n">
        <f aca="false">D7*0.2</f>
        <v>37370.376</v>
      </c>
      <c r="E24" s="20" t="n">
        <f aca="false">E7*0.2</f>
        <v>39611.862</v>
      </c>
    </row>
    <row r="25" customFormat="false" ht="15" hidden="false" customHeight="true" outlineLevel="0" collapsed="false">
      <c r="B25" s="9" t="s">
        <v>87</v>
      </c>
      <c r="C25" s="20" t="n">
        <f aca="false">(C8+C9)*0.1</f>
        <v>10803.78</v>
      </c>
      <c r="D25" s="20" t="n">
        <f aca="false">(D8+D9)*0.1</f>
        <v>11452.212</v>
      </c>
      <c r="E25" s="20" t="n">
        <f aca="false">(E8+E9)*0.1</f>
        <v>12139.119</v>
      </c>
    </row>
  </sheetData>
  <mergeCells count="5">
    <mergeCell ref="A1:F1"/>
    <mergeCell ref="A6:F6"/>
    <mergeCell ref="A12:F12"/>
    <mergeCell ref="A20:F20"/>
    <mergeCell ref="A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5" min="3" style="1" width="20"/>
    <col collapsed="false" customWidth="true" hidden="false" outlineLevel="0" max="6" min="6" style="1" width="3"/>
  </cols>
  <sheetData>
    <row r="1" customFormat="false" ht="25.5" hidden="false" customHeight="true" outlineLevel="0" collapsed="false">
      <c r="A1" s="7" t="s">
        <v>88</v>
      </c>
      <c r="B1" s="7"/>
      <c r="C1" s="7"/>
      <c r="D1" s="7"/>
      <c r="E1" s="7"/>
      <c r="F1" s="7"/>
    </row>
    <row r="3" customFormat="false" ht="15" hidden="false" customHeight="true" outlineLevel="0" collapsed="false">
      <c r="B3" s="15"/>
      <c r="C3" s="17" t="s">
        <v>68</v>
      </c>
      <c r="D3" s="17" t="s">
        <v>69</v>
      </c>
      <c r="E3" s="17" t="s">
        <v>70</v>
      </c>
    </row>
    <row r="4" customFormat="false" ht="15" hidden="false" customHeight="true" outlineLevel="0" collapsed="false">
      <c r="B4" s="15" t="s">
        <v>89</v>
      </c>
      <c r="C4" s="24" t="n">
        <f aca="false">'CA &amp; Marges'!C10</f>
        <v>284310</v>
      </c>
      <c r="D4" s="24" t="n">
        <f aca="false">'CA &amp; Marges'!D10</f>
        <v>301374</v>
      </c>
      <c r="E4" s="24" t="n">
        <f aca="false">'CA &amp; Marges'!E10</f>
        <v>319450.5</v>
      </c>
    </row>
    <row r="5" customFormat="false" ht="15" hidden="false" customHeight="true" outlineLevel="0" collapsed="false">
      <c r="B5" s="9" t="s">
        <v>90</v>
      </c>
      <c r="C5" s="25" t="n">
        <f aca="false">-'CA &amp; Marges'!C16</f>
        <v>-69030.468</v>
      </c>
      <c r="D5" s="25" t="n">
        <f aca="false">-'CA &amp; Marges'!D16</f>
        <v>-73173.6072</v>
      </c>
      <c r="E5" s="25" t="n">
        <f aca="false">-'CA &amp; Marges'!E16</f>
        <v>-77562.5814</v>
      </c>
    </row>
    <row r="6" customFormat="false" ht="15" hidden="false" customHeight="true" outlineLevel="0" collapsed="false">
      <c r="B6" s="15" t="s">
        <v>81</v>
      </c>
      <c r="C6" s="21" t="n">
        <f aca="false">C4+C5</f>
        <v>215279.532</v>
      </c>
      <c r="D6" s="21" t="n">
        <f aca="false">D4+D5</f>
        <v>228200.3928</v>
      </c>
      <c r="E6" s="21" t="n">
        <f aca="false">E4+E5</f>
        <v>241887.9186</v>
      </c>
    </row>
    <row r="7" customFormat="false" ht="15" hidden="false" customHeight="true" outlineLevel="0" collapsed="false">
      <c r="B7" s="9" t="s">
        <v>91</v>
      </c>
      <c r="C7" s="20" t="n">
        <f aca="false">-(Hypothèses!C23*Hypothèses!C24+Hypothèses!C25)</f>
        <v>-103000</v>
      </c>
      <c r="D7" s="20" t="n">
        <f aca="false">-(Hypothèses!C23*Hypothèses!C24+Hypothèses!C25)</f>
        <v>-103000</v>
      </c>
      <c r="E7" s="20" t="n">
        <f aca="false">-(Hypothèses!C23*Hypothèses!C24+Hypothèses!C25)</f>
        <v>-103000</v>
      </c>
    </row>
    <row r="8" customFormat="false" ht="15" hidden="false" customHeight="true" outlineLevel="0" collapsed="false">
      <c r="B8" s="9" t="s">
        <v>92</v>
      </c>
      <c r="C8" s="20" t="n">
        <f aca="false">-(Hypothèses!C28+Hypothèses!C29+Hypothèses!C30+Hypothèses!C31+Hypothèses!C32+Hypothèses!C33)</f>
        <v>-57000</v>
      </c>
      <c r="D8" s="20" t="n">
        <f aca="false">-(Hypothèses!C28+Hypothèses!C29+Hypothèses!C30+Hypothèses!C31+Hypothèses!C32+Hypothèses!C33)</f>
        <v>-57000</v>
      </c>
      <c r="E8" s="20" t="n">
        <f aca="false">-(Hypothèses!C28+Hypothèses!C29+Hypothèses!C30+Hypothèses!C31+Hypothèses!C32+Hypothèses!C33)</f>
        <v>-57000</v>
      </c>
    </row>
    <row r="9" customFormat="false" ht="15" hidden="false" customHeight="true" outlineLevel="0" collapsed="false">
      <c r="B9" s="15" t="s">
        <v>93</v>
      </c>
      <c r="C9" s="21" t="n">
        <f aca="false">C6+C7+C8</f>
        <v>55279.532</v>
      </c>
      <c r="D9" s="21" t="n">
        <f aca="false">D6+D7+D8</f>
        <v>68200.3928</v>
      </c>
      <c r="E9" s="21" t="n">
        <f aca="false">E6+E7+E8</f>
        <v>81887.9186</v>
      </c>
    </row>
    <row r="10" customFormat="false" ht="15" hidden="false" customHeight="true" outlineLevel="0" collapsed="false">
      <c r="B10" s="9" t="s">
        <v>94</v>
      </c>
      <c r="C10" s="23" t="n">
        <f aca="false">IF(C4=0,0,C9/C4)</f>
        <v>0.19443400513524</v>
      </c>
      <c r="D10" s="23" t="n">
        <f aca="false">IF(D4=0,0,D9/D4)</f>
        <v>0.226298196924751</v>
      </c>
      <c r="E10" s="23" t="n">
        <f aca="false">IF(E4=0,0,E9/E4)</f>
        <v>0.256339929347426</v>
      </c>
    </row>
    <row r="11" customFormat="false" ht="15" hidden="false" customHeight="true" outlineLevel="0" collapsed="false">
      <c r="B11" s="9" t="s">
        <v>95</v>
      </c>
      <c r="C11" s="20" t="n">
        <f aca="false">-((Hypothèses!C37+Hypothèses!C38)/7)</f>
        <v>-10714.2857142857</v>
      </c>
      <c r="D11" s="20" t="n">
        <f aca="false">-((Hypothèses!C37+Hypothèses!C38)/7)</f>
        <v>-10714.2857142857</v>
      </c>
      <c r="E11" s="20" t="n">
        <f aca="false">-((Hypothèses!C37+Hypothèses!C38)/7)</f>
        <v>-10714.2857142857</v>
      </c>
    </row>
    <row r="12" customFormat="false" ht="15" hidden="false" customHeight="true" outlineLevel="0" collapsed="false">
      <c r="B12" s="9" t="s">
        <v>96</v>
      </c>
      <c r="C12" s="25" t="n">
        <f aca="false">-Financement!C29</f>
        <v>-7110</v>
      </c>
      <c r="D12" s="25" t="n">
        <f aca="false">-Financement!D29</f>
        <v>-6223.37256260343</v>
      </c>
      <c r="E12" s="25" t="n">
        <f aca="false">-Financement!E29</f>
        <v>-5296.846890524</v>
      </c>
    </row>
    <row r="13" customFormat="false" ht="15" hidden="false" customHeight="true" outlineLevel="0" collapsed="false">
      <c r="B13" s="15" t="s">
        <v>97</v>
      </c>
      <c r="C13" s="22" t="n">
        <f aca="false">C9+C11+C12</f>
        <v>37455.2462857143</v>
      </c>
      <c r="D13" s="22" t="n">
        <f aca="false">D9+D11+D12</f>
        <v>51262.7345231109</v>
      </c>
      <c r="E13" s="22" t="n">
        <f aca="false">E9+E11+E12</f>
        <v>65876.7859951903</v>
      </c>
    </row>
    <row r="14" customFormat="false" ht="15" hidden="false" customHeight="true" outlineLevel="0" collapsed="false">
      <c r="B14" s="9" t="s">
        <v>98</v>
      </c>
      <c r="C14" s="20" t="n">
        <f aca="false">-MAX(0,C13)*Hypothèses!C47</f>
        <v>-9363.81157142857</v>
      </c>
      <c r="D14" s="20" t="n">
        <f aca="false">-MAX(0,D13)*Hypothèses!C47</f>
        <v>-12815.6836307777</v>
      </c>
      <c r="E14" s="20" t="n">
        <f aca="false">-MAX(0,E13)*Hypothèses!C47</f>
        <v>-16469.1964987976</v>
      </c>
    </row>
    <row r="15" customFormat="false" ht="15" hidden="false" customHeight="true" outlineLevel="0" collapsed="false">
      <c r="B15" s="15" t="s">
        <v>99</v>
      </c>
      <c r="C15" s="21" t="n">
        <f aca="false">C13+C14</f>
        <v>28091.4347142857</v>
      </c>
      <c r="D15" s="21" t="n">
        <f aca="false">D13+D14</f>
        <v>38447.0508923332</v>
      </c>
      <c r="E15" s="21" t="n">
        <f aca="false">E13+E14</f>
        <v>49407.5894963927</v>
      </c>
    </row>
    <row r="16" customFormat="false" ht="15" hidden="false" customHeight="true" outlineLevel="0" collapsed="false">
      <c r="B16" s="26"/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5" min="3" style="1" width="20"/>
    <col collapsed="false" customWidth="true" hidden="false" outlineLevel="0" max="6" min="6" style="1" width="3"/>
  </cols>
  <sheetData>
    <row r="1" customFormat="false" ht="25.5" hidden="false" customHeight="true" outlineLevel="0" collapsed="false">
      <c r="A1" s="7" t="s">
        <v>100</v>
      </c>
      <c r="B1" s="7"/>
      <c r="C1" s="7"/>
      <c r="D1" s="7"/>
      <c r="E1" s="7"/>
      <c r="F1" s="7"/>
    </row>
    <row r="3" customFormat="false" ht="19.5" hidden="false" customHeight="true" outlineLevel="0" collapsed="false">
      <c r="A3" s="8" t="s">
        <v>101</v>
      </c>
      <c r="B3" s="8"/>
      <c r="C3" s="8"/>
      <c r="D3" s="8"/>
      <c r="E3" s="8"/>
      <c r="F3" s="8"/>
    </row>
    <row r="4" customFormat="false" ht="15" hidden="false" customHeight="true" outlineLevel="0" collapsed="false">
      <c r="B4" s="9" t="s">
        <v>102</v>
      </c>
      <c r="C4" s="20" t="n">
        <f aca="false">Hypothèses!C36</f>
        <v>120000</v>
      </c>
    </row>
    <row r="5" customFormat="false" ht="15" hidden="false" customHeight="true" outlineLevel="0" collapsed="false">
      <c r="B5" s="9" t="s">
        <v>55</v>
      </c>
      <c r="C5" s="20" t="n">
        <f aca="false">Hypothèses!C37</f>
        <v>40000</v>
      </c>
    </row>
    <row r="6" customFormat="false" ht="15" hidden="false" customHeight="true" outlineLevel="0" collapsed="false">
      <c r="B6" s="9" t="s">
        <v>103</v>
      </c>
      <c r="C6" s="20" t="n">
        <f aca="false">Hypothèses!C38</f>
        <v>35000</v>
      </c>
    </row>
    <row r="7" customFormat="false" ht="15" hidden="false" customHeight="true" outlineLevel="0" collapsed="false">
      <c r="B7" s="9" t="s">
        <v>57</v>
      </c>
      <c r="C7" s="20" t="n">
        <f aca="false">Hypothèses!C39</f>
        <v>8000</v>
      </c>
    </row>
    <row r="8" customFormat="false" ht="15" hidden="false" customHeight="true" outlineLevel="0" collapsed="false">
      <c r="B8" s="9" t="s">
        <v>58</v>
      </c>
      <c r="C8" s="20" t="n">
        <f aca="false">Hypothèses!C40</f>
        <v>10000</v>
      </c>
    </row>
    <row r="9" customFormat="false" ht="15" hidden="false" customHeight="true" outlineLevel="0" collapsed="false">
      <c r="B9" s="9" t="s">
        <v>104</v>
      </c>
      <c r="C9" s="20" t="n">
        <f aca="false">Hypothèses!C41</f>
        <v>15000</v>
      </c>
    </row>
    <row r="10" customFormat="false" ht="15" hidden="false" customHeight="true" outlineLevel="0" collapsed="false">
      <c r="B10" s="15" t="s">
        <v>105</v>
      </c>
      <c r="C10" s="21" t="n">
        <f aca="false">SUM(C4:C9)</f>
        <v>228000</v>
      </c>
    </row>
    <row r="12" customFormat="false" ht="19.5" hidden="false" customHeight="true" outlineLevel="0" collapsed="false">
      <c r="A12" s="8" t="s">
        <v>106</v>
      </c>
      <c r="B12" s="8"/>
      <c r="C12" s="8"/>
      <c r="D12" s="8"/>
      <c r="E12" s="8"/>
      <c r="F12" s="8"/>
    </row>
    <row r="13" customFormat="false" ht="15" hidden="false" customHeight="true" outlineLevel="0" collapsed="false">
      <c r="B13" s="9" t="s">
        <v>60</v>
      </c>
      <c r="C13" s="20" t="n">
        <f aca="false">Hypothèses!C42</f>
        <v>70000</v>
      </c>
    </row>
    <row r="14" customFormat="false" ht="15" hidden="false" customHeight="true" outlineLevel="0" collapsed="false">
      <c r="B14" s="15" t="s">
        <v>107</v>
      </c>
      <c r="C14" s="22" t="n">
        <f aca="false">C10-C13</f>
        <v>158000</v>
      </c>
    </row>
    <row r="15" customFormat="false" ht="15" hidden="false" customHeight="true" outlineLevel="0" collapsed="false">
      <c r="B15" s="15" t="s">
        <v>108</v>
      </c>
      <c r="C15" s="21" t="n">
        <f aca="false">C13+C14</f>
        <v>228000</v>
      </c>
    </row>
    <row r="17" customFormat="false" ht="15" hidden="false" customHeight="true" outlineLevel="0" collapsed="false">
      <c r="B17" s="15" t="s">
        <v>109</v>
      </c>
      <c r="C17" s="22" t="n">
        <f aca="false">C15-C10</f>
        <v>0</v>
      </c>
    </row>
    <row r="18" customFormat="false" ht="15" hidden="false" customHeight="true" outlineLevel="0" collapsed="false">
      <c r="B18" s="9" t="s">
        <v>110</v>
      </c>
      <c r="C18" s="23" t="n">
        <f aca="false">IF(C10=0,0,C13/C10)</f>
        <v>0.307017543859649</v>
      </c>
    </row>
    <row r="20" customFormat="false" ht="19.5" hidden="false" customHeight="true" outlineLevel="0" collapsed="false">
      <c r="A20" s="8" t="s">
        <v>111</v>
      </c>
      <c r="B20" s="8"/>
      <c r="C20" s="8"/>
      <c r="D20" s="8"/>
      <c r="E20" s="8"/>
      <c r="F20" s="8"/>
    </row>
    <row r="21" customFormat="false" ht="15" hidden="false" customHeight="true" outlineLevel="0" collapsed="false">
      <c r="B21" s="9" t="s">
        <v>112</v>
      </c>
      <c r="C21" s="20" t="n">
        <f aca="false">C14</f>
        <v>158000</v>
      </c>
    </row>
    <row r="22" customFormat="false" ht="15" hidden="false" customHeight="true" outlineLevel="0" collapsed="false">
      <c r="B22" s="9" t="s">
        <v>113</v>
      </c>
      <c r="C22" s="23" t="n">
        <f aca="false">Hypothèses!C43</f>
        <v>0.045</v>
      </c>
    </row>
    <row r="23" customFormat="false" ht="15" hidden="false" customHeight="true" outlineLevel="0" collapsed="false">
      <c r="B23" s="9" t="s">
        <v>114</v>
      </c>
      <c r="C23" s="18" t="n">
        <f aca="false">Hypothèses!C44</f>
        <v>7</v>
      </c>
    </row>
    <row r="24" customFormat="false" ht="15" hidden="false" customHeight="true" outlineLevel="0" collapsed="false">
      <c r="B24" s="15" t="s">
        <v>115</v>
      </c>
      <c r="C24" s="22" t="n">
        <f aca="false">IF(C22=0,IF(C23=0,0,C21/C23),-PMT(C22,C23,C21))</f>
        <v>26812.8319421461</v>
      </c>
    </row>
    <row r="26" customFormat="false" ht="19.5" hidden="false" customHeight="true" outlineLevel="0" collapsed="false">
      <c r="A26" s="8" t="s">
        <v>116</v>
      </c>
      <c r="B26" s="8"/>
      <c r="C26" s="8"/>
      <c r="D26" s="8"/>
      <c r="E26" s="8"/>
      <c r="F26" s="8"/>
    </row>
    <row r="27" customFormat="false" ht="15" hidden="false" customHeight="true" outlineLevel="0" collapsed="false">
      <c r="B27" s="15"/>
      <c r="C27" s="17" t="s">
        <v>68</v>
      </c>
      <c r="D27" s="17" t="s">
        <v>69</v>
      </c>
      <c r="E27" s="17" t="s">
        <v>70</v>
      </c>
    </row>
    <row r="28" customFormat="false" ht="15" hidden="false" customHeight="true" outlineLevel="0" collapsed="false">
      <c r="B28" s="9" t="s">
        <v>117</v>
      </c>
      <c r="C28" s="20" t="n">
        <f aca="false">C21</f>
        <v>158000</v>
      </c>
      <c r="D28" s="20" t="n">
        <f aca="false">C28-C30</f>
        <v>138297.168057854</v>
      </c>
      <c r="E28" s="1" t="n">
        <f aca="false">D28-D30</f>
        <v>117707.708678311</v>
      </c>
    </row>
    <row r="29" customFormat="false" ht="15" hidden="false" customHeight="true" outlineLevel="0" collapsed="false">
      <c r="B29" s="9" t="s">
        <v>118</v>
      </c>
      <c r="C29" s="20" t="n">
        <f aca="false">C28*C22</f>
        <v>7110</v>
      </c>
      <c r="D29" s="20" t="n">
        <f aca="false">D28*C22</f>
        <v>6223.37256260343</v>
      </c>
      <c r="E29" s="20" t="n">
        <f aca="false">E28*C22</f>
        <v>5296.846890524</v>
      </c>
    </row>
    <row r="30" customFormat="false" ht="15" hidden="false" customHeight="true" outlineLevel="0" collapsed="false">
      <c r="B30" s="9" t="s">
        <v>119</v>
      </c>
      <c r="C30" s="20" t="n">
        <f aca="false">C24-C29</f>
        <v>19702.8319421461</v>
      </c>
      <c r="D30" s="20" t="n">
        <f aca="false">C24-D29</f>
        <v>20589.4593795427</v>
      </c>
      <c r="E30" s="20" t="n">
        <f aca="false">C24-E29</f>
        <v>21515.9850516221</v>
      </c>
    </row>
  </sheetData>
  <mergeCells count="5">
    <mergeCell ref="A1:F1"/>
    <mergeCell ref="A3:F3"/>
    <mergeCell ref="A12:F12"/>
    <mergeCell ref="A20:F20"/>
    <mergeCell ref="A26:F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14" min="3" style="1" width="9.52"/>
  </cols>
  <sheetData>
    <row r="1" customFormat="false" ht="25.5" hidden="false" customHeight="true" outlineLevel="0" collapsed="false">
      <c r="A1" s="7" t="s">
        <v>120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3" customFormat="false" ht="19.5" hidden="false" customHeight="true" outlineLevel="0" collapsed="false">
      <c r="A3" s="8" t="s">
        <v>121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customFormat="false" ht="15" hidden="false" customHeight="true" outlineLevel="0" collapsed="false">
      <c r="B4" s="15" t="s">
        <v>122</v>
      </c>
      <c r="C4" s="17" t="s">
        <v>123</v>
      </c>
      <c r="D4" s="17" t="s">
        <v>124</v>
      </c>
      <c r="E4" s="17" t="s">
        <v>125</v>
      </c>
      <c r="F4" s="17" t="s">
        <v>126</v>
      </c>
      <c r="G4" s="17" t="s">
        <v>127</v>
      </c>
      <c r="H4" s="17" t="s">
        <v>128</v>
      </c>
      <c r="I4" s="17" t="s">
        <v>129</v>
      </c>
      <c r="J4" s="17" t="s">
        <v>130</v>
      </c>
      <c r="K4" s="17" t="s">
        <v>131</v>
      </c>
      <c r="L4" s="17" t="s">
        <v>132</v>
      </c>
      <c r="M4" s="17" t="s">
        <v>133</v>
      </c>
      <c r="N4" s="17" t="s">
        <v>134</v>
      </c>
    </row>
    <row r="5" customFormat="false" ht="15" hidden="false" customHeight="true" outlineLevel="0" collapsed="false">
      <c r="B5" s="9" t="s">
        <v>135</v>
      </c>
      <c r="C5" s="12" t="n">
        <v>0.06</v>
      </c>
      <c r="D5" s="12" t="n">
        <v>0.06</v>
      </c>
      <c r="E5" s="12" t="n">
        <v>0.07</v>
      </c>
      <c r="F5" s="12" t="n">
        <v>0.08</v>
      </c>
      <c r="G5" s="12" t="n">
        <v>0.09</v>
      </c>
      <c r="H5" s="12" t="n">
        <v>0.1</v>
      </c>
      <c r="I5" s="12" t="n">
        <v>0.12</v>
      </c>
      <c r="J5" s="12" t="n">
        <v>0.07</v>
      </c>
      <c r="K5" s="12" t="n">
        <v>0.08</v>
      </c>
      <c r="L5" s="12" t="n">
        <v>0.09</v>
      </c>
      <c r="M5" s="12" t="n">
        <v>0.08</v>
      </c>
      <c r="N5" s="12" t="n">
        <v>0.1</v>
      </c>
    </row>
    <row r="6" customFormat="false" ht="15" hidden="false" customHeight="true" outlineLevel="0" collapsed="false">
      <c r="B6" s="15" t="s">
        <v>136</v>
      </c>
      <c r="C6" s="16" t="n">
        <f aca="false">SUM(C5:N5)</f>
        <v>1</v>
      </c>
      <c r="D6" s="16"/>
      <c r="E6" s="16"/>
    </row>
    <row r="8" customFormat="false" ht="26.25" hidden="false" customHeight="true" outlineLevel="0" collapsed="false">
      <c r="B8" s="9" t="s">
        <v>137</v>
      </c>
      <c r="C8" s="20" t="n">
        <f aca="false">'Compte de résultat'!C4*1.15*C5</f>
        <v>19617.39</v>
      </c>
      <c r="D8" s="20" t="n">
        <f aca="false">'Compte de résultat'!C4*1.15*D5</f>
        <v>19617.39</v>
      </c>
      <c r="E8" s="20" t="n">
        <f aca="false">'Compte de résultat'!C4*1.15*E5</f>
        <v>22886.955</v>
      </c>
      <c r="F8" s="20" t="n">
        <f aca="false">'Compte de résultat'!C4*1.15*F5</f>
        <v>26156.52</v>
      </c>
      <c r="G8" s="20" t="n">
        <f aca="false">'Compte de résultat'!C4*1.15*G5</f>
        <v>29426.085</v>
      </c>
      <c r="H8" s="20" t="n">
        <f aca="false">'Compte de résultat'!C4*1.15*H5</f>
        <v>32695.65</v>
      </c>
      <c r="I8" s="20" t="n">
        <f aca="false">'Compte de résultat'!C4*1.15*I5</f>
        <v>39234.78</v>
      </c>
      <c r="J8" s="20" t="n">
        <f aca="false">'Compte de résultat'!C4*1.15*J5</f>
        <v>22886.955</v>
      </c>
      <c r="K8" s="20" t="n">
        <f aca="false">'Compte de résultat'!C4*1.15*K5</f>
        <v>26156.52</v>
      </c>
      <c r="L8" s="20" t="n">
        <f aca="false">'Compte de résultat'!C4*1.15*L5</f>
        <v>29426.085</v>
      </c>
      <c r="M8" s="20" t="n">
        <f aca="false">'Compte de résultat'!C4*1.15*M5</f>
        <v>26156.52</v>
      </c>
      <c r="N8" s="20" t="n">
        <f aca="false">'Compte de résultat'!C4*1.15*N5</f>
        <v>32695.65</v>
      </c>
    </row>
    <row r="9" customFormat="false" ht="26.25" hidden="false" customHeight="true" outlineLevel="0" collapsed="false">
      <c r="B9" s="9" t="s">
        <v>138</v>
      </c>
      <c r="C9" s="20" t="n">
        <f aca="false">(('CA &amp; Marges'!C16))*1.2*C5+(-('Compte de résultat'!C7)-('Compte de résultat'!C8)+Financement!C24)/12+'Compte de résultat'!C4*1.15*C5*0.09</f>
        <v>22303.4947911788</v>
      </c>
      <c r="D9" s="20" t="n">
        <f aca="false">(('CA &amp; Marges'!C16))*1.2*D5+(-('Compte de résultat'!C7)-('Compte de résultat'!C8)+Financement!C24)/12+'Compte de résultat'!C4*1.15*D5*0.09</f>
        <v>22303.4947911788</v>
      </c>
      <c r="E9" s="20" t="n">
        <f aca="false">(('CA &amp; Marges'!C16))*1.2*E5+(-('Compte de résultat'!C7)-('Compte de résultat'!C8)+Financement!C24)/12+'Compte de résultat'!C4*1.15*E5*0.09</f>
        <v>23426.1212571788</v>
      </c>
      <c r="F9" s="20" t="n">
        <f aca="false">(('CA &amp; Marges'!C16))*1.2*F5+(-('Compte de résultat'!C7)-('Compte de résultat'!C8)+Financement!C24)/12+'Compte de résultat'!C4*1.15*F5*0.09</f>
        <v>24548.7477231788</v>
      </c>
      <c r="G9" s="20" t="n">
        <f aca="false">(('CA &amp; Marges'!C16))*1.2*G5+(-('Compte de résultat'!C7)-('Compte de résultat'!C8)+Financement!C24)/12+'Compte de résultat'!C4*1.15*G5*0.09</f>
        <v>25671.3741891788</v>
      </c>
      <c r="H9" s="20" t="n">
        <f aca="false">(('CA &amp; Marges'!C16))*1.2*H5+(-('Compte de résultat'!C7)-('Compte de résultat'!C8)+Financement!C24)/12+'Compte de résultat'!C4*1.15*H5*0.09</f>
        <v>26794.0006551788</v>
      </c>
      <c r="I9" s="20" t="n">
        <f aca="false">(('CA &amp; Marges'!C16))*1.2*I5+(-('Compte de résultat'!C7)-('Compte de résultat'!C8)+Financement!C24)/12+'Compte de résultat'!C4*1.15*I5*0.09</f>
        <v>29039.2535871788</v>
      </c>
      <c r="J9" s="20" t="n">
        <f aca="false">(('CA &amp; Marges'!C16))*1.2*J5+(-('Compte de résultat'!C7)-('Compte de résultat'!C8)+Financement!C24)/12+'Compte de résultat'!C4*1.15*J5*0.09</f>
        <v>23426.1212571788</v>
      </c>
      <c r="K9" s="20" t="n">
        <f aca="false">(('CA &amp; Marges'!C16))*1.2*K5+(-('Compte de résultat'!C7)-('Compte de résultat'!C8)+Financement!C24)/12+'Compte de résultat'!C4*1.15*K5*0.09</f>
        <v>24548.7477231788</v>
      </c>
      <c r="L9" s="20" t="n">
        <f aca="false">(('CA &amp; Marges'!C16))*1.2*L5+(-('Compte de résultat'!C7)-('Compte de résultat'!C8)+Financement!C24)/12+'Compte de résultat'!C4*1.15*L5*0.09</f>
        <v>25671.3741891788</v>
      </c>
      <c r="M9" s="20" t="n">
        <f aca="false">(('CA &amp; Marges'!C16))*1.2*M5+(-('Compte de résultat'!C7)-('Compte de résultat'!C8)+Financement!C24)/12+'Compte de résultat'!C4*1.15*M5*0.09</f>
        <v>24548.7477231788</v>
      </c>
      <c r="N9" s="20" t="n">
        <f aca="false">(('CA &amp; Marges'!C16))*1.2*N5+(-('Compte de résultat'!C7)-('Compte de résultat'!C8)+Financement!C24)/12+'Compte de résultat'!C4*1.15*N5*0.09</f>
        <v>26794.0006551788</v>
      </c>
    </row>
    <row r="10" customFormat="false" ht="15" hidden="false" customHeight="true" outlineLevel="0" collapsed="false">
      <c r="B10" s="15" t="s">
        <v>139</v>
      </c>
      <c r="C10" s="22" t="n">
        <f aca="false">C8-C9</f>
        <v>-2686.10479117884</v>
      </c>
      <c r="D10" s="22" t="n">
        <f aca="false">D8-D9</f>
        <v>-2686.10479117884</v>
      </c>
      <c r="E10" s="22" t="n">
        <f aca="false">E8-E9</f>
        <v>-539.16625717884</v>
      </c>
      <c r="F10" s="22" t="n">
        <f aca="false">F8-F9</f>
        <v>1607.77227682115</v>
      </c>
      <c r="G10" s="22" t="n">
        <f aca="false">G8-G9</f>
        <v>3754.71081082116</v>
      </c>
      <c r="H10" s="22" t="n">
        <f aca="false">H8-H9</f>
        <v>5901.64934482116</v>
      </c>
      <c r="I10" s="22" t="n">
        <f aca="false">I8-I9</f>
        <v>10195.5264128212</v>
      </c>
      <c r="J10" s="22" t="n">
        <f aca="false">J8-J9</f>
        <v>-539.16625717884</v>
      </c>
      <c r="K10" s="22" t="n">
        <f aca="false">K8-K9</f>
        <v>1607.77227682115</v>
      </c>
      <c r="L10" s="22" t="n">
        <f aca="false">L8-L9</f>
        <v>3754.71081082116</v>
      </c>
      <c r="M10" s="22" t="n">
        <f aca="false">M8-M9</f>
        <v>1607.77227682115</v>
      </c>
      <c r="N10" s="22" t="n">
        <f aca="false">N8-N9</f>
        <v>5901.64934482116</v>
      </c>
    </row>
    <row r="11" customFormat="false" ht="15" hidden="false" customHeight="true" outlineLevel="0" collapsed="false">
      <c r="B11" s="15" t="s">
        <v>140</v>
      </c>
      <c r="C11" s="22" t="n">
        <f aca="false">Hypothèses!C41+C10</f>
        <v>12313.8952088212</v>
      </c>
      <c r="D11" s="22" t="n">
        <f aca="false">C11+D10</f>
        <v>9627.79041764231</v>
      </c>
      <c r="E11" s="22" t="n">
        <f aca="false">D11+E10</f>
        <v>9088.62416046347</v>
      </c>
      <c r="F11" s="22" t="n">
        <f aca="false">E11+F10</f>
        <v>10696.3964372846</v>
      </c>
      <c r="G11" s="22" t="n">
        <f aca="false">F11+G10</f>
        <v>14451.1072481058</v>
      </c>
      <c r="H11" s="22" t="n">
        <f aca="false">G11+H10</f>
        <v>20352.7565929269</v>
      </c>
      <c r="I11" s="22" t="n">
        <f aca="false">H11+I10</f>
        <v>30548.2830057481</v>
      </c>
      <c r="J11" s="22" t="n">
        <f aca="false">I11+J10</f>
        <v>30009.1167485693</v>
      </c>
      <c r="K11" s="22" t="n">
        <f aca="false">J11+K10</f>
        <v>31616.8890253904</v>
      </c>
      <c r="L11" s="22" t="n">
        <f aca="false">K11+L10</f>
        <v>35371.5998362116</v>
      </c>
      <c r="M11" s="22" t="n">
        <f aca="false">L11+M10</f>
        <v>36979.3721130327</v>
      </c>
      <c r="N11" s="22" t="n">
        <f aca="false">M11+N10</f>
        <v>42881.0214578539</v>
      </c>
    </row>
    <row r="12" customFormat="false" ht="26.25" hidden="false" customHeight="true" outlineLevel="0" collapsed="false">
      <c r="B12" s="15" t="s">
        <v>141</v>
      </c>
      <c r="C12" s="21" t="n">
        <f aca="false">MIN(C11:N11)</f>
        <v>9088.62416046347</v>
      </c>
    </row>
  </sheetData>
  <mergeCells count="3">
    <mergeCell ref="A1:N1"/>
    <mergeCell ref="A3:N3"/>
    <mergeCell ref="C6:E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2"/>
    <col collapsed="false" customWidth="true" hidden="false" outlineLevel="0" max="3" min="3" style="1" width="22"/>
    <col collapsed="false" customWidth="true" hidden="false" outlineLevel="0" max="4" min="4" style="1" width="26"/>
    <col collapsed="false" customWidth="true" hidden="false" outlineLevel="0" max="6" min="5" style="1" width="3"/>
  </cols>
  <sheetData>
    <row r="1" customFormat="false" ht="25.5" hidden="false" customHeight="true" outlineLevel="0" collapsed="false">
      <c r="A1" s="7" t="s">
        <v>142</v>
      </c>
      <c r="B1" s="7"/>
      <c r="C1" s="7"/>
      <c r="D1" s="7"/>
    </row>
    <row r="3" customFormat="false" ht="15" hidden="false" customHeight="true" outlineLevel="0" collapsed="false">
      <c r="B3" s="27" t="s">
        <v>143</v>
      </c>
      <c r="C3" s="28" t="s">
        <v>144</v>
      </c>
      <c r="D3" s="28" t="s">
        <v>145</v>
      </c>
    </row>
    <row r="4" customFormat="false" ht="15" hidden="false" customHeight="true" outlineLevel="0" collapsed="false">
      <c r="B4" s="29" t="s">
        <v>89</v>
      </c>
      <c r="C4" s="30" t="n">
        <f aca="false">'Compte de résultat'!C4</f>
        <v>284310</v>
      </c>
      <c r="D4" s="31" t="s">
        <v>146</v>
      </c>
    </row>
    <row r="5" customFormat="false" ht="15" hidden="false" customHeight="true" outlineLevel="0" collapsed="false">
      <c r="B5" s="29" t="s">
        <v>82</v>
      </c>
      <c r="C5" s="32" t="n">
        <f aca="false">'CA &amp; Marges'!C18</f>
        <v>0.7572</v>
      </c>
      <c r="D5" s="31" t="s">
        <v>147</v>
      </c>
    </row>
    <row r="6" customFormat="false" ht="15" hidden="false" customHeight="true" outlineLevel="0" collapsed="false">
      <c r="B6" s="29" t="s">
        <v>83</v>
      </c>
      <c r="C6" s="32" t="n">
        <f aca="false">'CA &amp; Marges'!C21</f>
        <v>0.2428</v>
      </c>
      <c r="D6" s="31" t="s">
        <v>148</v>
      </c>
    </row>
    <row r="7" customFormat="false" ht="15" hidden="false" customHeight="true" outlineLevel="0" collapsed="false">
      <c r="B7" s="29" t="s">
        <v>149</v>
      </c>
      <c r="C7" s="32" t="n">
        <f aca="false">IF('Compte de résultat'!C4=0,0,('CA &amp; Marges'!C16+(-'Compte de résultat'!C7))/'Compte de résultat'!C4)</f>
        <v>0.605080609194189</v>
      </c>
      <c r="D7" s="31" t="s">
        <v>150</v>
      </c>
    </row>
    <row r="8" customFormat="false" ht="15" hidden="false" customHeight="true" outlineLevel="0" collapsed="false">
      <c r="B8" s="29" t="s">
        <v>151</v>
      </c>
      <c r="C8" s="32" t="n">
        <f aca="false">IF('Compte de résultat'!C4=0,0,(-'Compte de résultat'!C7)/'Compte de résultat'!C4)</f>
        <v>0.362280609194189</v>
      </c>
      <c r="D8" s="31" t="s">
        <v>152</v>
      </c>
    </row>
    <row r="9" customFormat="false" ht="15" hidden="false" customHeight="true" outlineLevel="0" collapsed="false">
      <c r="B9" s="29" t="s">
        <v>153</v>
      </c>
      <c r="C9" s="32" t="n">
        <f aca="false">IF('Compte de résultat'!C4=0,0,Hypothèses!C28/'Compte de résultat'!C4)</f>
        <v>0.105518624037143</v>
      </c>
      <c r="D9" s="31" t="s">
        <v>154</v>
      </c>
    </row>
    <row r="10" customFormat="false" ht="15" hidden="false" customHeight="true" outlineLevel="0" collapsed="false">
      <c r="B10" s="29" t="s">
        <v>155</v>
      </c>
      <c r="C10" s="32" t="n">
        <f aca="false">IF('Compte de résultat'!C4=0,0,'Compte de résultat'!C9/'Compte de résultat'!C4)</f>
        <v>0.19443400513524</v>
      </c>
      <c r="D10" s="31" t="s">
        <v>156</v>
      </c>
    </row>
    <row r="11" customFormat="false" ht="15" hidden="false" customHeight="true" outlineLevel="0" collapsed="false">
      <c r="B11" s="29" t="s">
        <v>157</v>
      </c>
      <c r="C11" s="30" t="n">
        <f aca="false">'Compte de résultat'!C15</f>
        <v>28091.4347142857</v>
      </c>
      <c r="D11" s="31" t="s">
        <v>158</v>
      </c>
    </row>
    <row r="12" customFormat="false" ht="15" hidden="false" customHeight="true" outlineLevel="0" collapsed="false">
      <c r="B12" s="29" t="s">
        <v>159</v>
      </c>
      <c r="C12" s="32" t="n">
        <f aca="false">IF('Compte de résultat'!C9=0,0,Financement!C24/'Compte de résultat'!C9)</f>
        <v>0.485040863626452</v>
      </c>
      <c r="D12" s="31" t="s">
        <v>160</v>
      </c>
    </row>
    <row r="13" customFormat="false" ht="15" hidden="false" customHeight="true" outlineLevel="0" collapsed="false">
      <c r="B13" s="29" t="s">
        <v>161</v>
      </c>
      <c r="C13" s="30" t="n">
        <f aca="false">Trésorerie!C12</f>
        <v>9088.62416046347</v>
      </c>
      <c r="D13" s="31" t="s">
        <v>158</v>
      </c>
    </row>
    <row r="14" customFormat="false" ht="15" hidden="false" customHeight="true" outlineLevel="0" collapsed="false">
      <c r="B14" s="29" t="s">
        <v>162</v>
      </c>
      <c r="C14" s="30" t="n">
        <f aca="false">'Compte de résultat'!C9*3</f>
        <v>165838.596</v>
      </c>
      <c r="D14" s="31" t="s">
        <v>163</v>
      </c>
    </row>
    <row r="16" customFormat="false" ht="24" hidden="false" customHeight="true" outlineLevel="0" collapsed="false">
      <c r="B16" s="33" t="s">
        <v>164</v>
      </c>
      <c r="C16" s="33"/>
      <c r="D16" s="33"/>
    </row>
    <row r="17" customFormat="false" ht="15" hidden="false" customHeight="true" outlineLevel="0" collapsed="false">
      <c r="B17" s="9" t="s">
        <v>165</v>
      </c>
      <c r="C17" s="34" t="str">
        <f aca="false">IF(ABS(Hypothèses!C15-1)&lt;0.001,"OK - Total des parts = 100%","A corriger - total des parts != 100%")</f>
        <v>OK - Total des parts = 100%</v>
      </c>
      <c r="D17" s="34"/>
    </row>
    <row r="18" customFormat="false" ht="15" hidden="false" customHeight="true" outlineLevel="0" collapsed="false">
      <c r="B18" s="9" t="s">
        <v>166</v>
      </c>
      <c r="C18" s="34" t="str">
        <f aca="false">IF(ABS(Financement!C15-Financement!C10)&lt;1,"OK - Equilibre","A reequilibrer")</f>
        <v>OK - Equilibre</v>
      </c>
      <c r="D18" s="34"/>
    </row>
    <row r="19" customFormat="false" ht="15" hidden="false" customHeight="true" outlineLevel="0" collapsed="false">
      <c r="B19" s="9" t="s">
        <v>167</v>
      </c>
      <c r="C19" s="34" t="str">
        <f aca="false">IF(C7&lt;=0.65,"OK - sous controle (&lt;=65%)","Attention - trop eleve (&gt;65%)")</f>
        <v>OK - sous controle (&lt;=65%)</v>
      </c>
      <c r="D19" s="34"/>
    </row>
    <row r="20" customFormat="false" ht="26.25" hidden="false" customHeight="true" outlineLevel="0" collapsed="false">
      <c r="B20" s="9" t="s">
        <v>168</v>
      </c>
      <c r="C20" s="34" t="str">
        <f aca="false">IF(C13&gt;0,"OK - positive toute l annee","Attention - passe dans le rouge")</f>
        <v>OK - positive toute l annee</v>
      </c>
      <c r="D20" s="34"/>
    </row>
    <row r="21" customFormat="false" ht="15" hidden="false" customHeight="true" outlineLevel="0" collapsed="false">
      <c r="B21" s="9" t="s">
        <v>169</v>
      </c>
      <c r="C21" s="34" t="str">
        <f aca="false">IF(C11&gt;0,"OK - resultat net positif","Attention - resultat net negatif en annee 1")</f>
        <v>OK - resultat net positif</v>
      </c>
      <c r="D21" s="34"/>
    </row>
    <row r="22" customFormat="false" ht="15" hidden="false" customHeight="true" outlineLevel="0" collapsed="false">
      <c r="B22" s="9" t="s">
        <v>170</v>
      </c>
      <c r="C22" s="34" t="str">
        <f aca="false">IF(C12&lt;=0.8,"OK - annuite soutenable (&lt;=80% EBE)","Attention - annuite trop lourde")</f>
        <v>OK - annuite soutenable (&lt;=80% EBE)</v>
      </c>
      <c r="D22" s="34"/>
    </row>
    <row r="24" customFormat="false" ht="15" hidden="false" customHeight="true" outlineLevel="0" collapsed="false">
      <c r="B24" s="35" t="s">
        <v>171</v>
      </c>
      <c r="C24" s="35"/>
      <c r="D24" s="35"/>
    </row>
    <row r="25" customFormat="false" ht="15" hidden="false" customHeight="true" outlineLevel="0" collapsed="false">
      <c r="B25" s="35"/>
      <c r="C25" s="35"/>
      <c r="D25" s="35"/>
    </row>
  </sheetData>
  <mergeCells count="9">
    <mergeCell ref="A1:D1"/>
    <mergeCell ref="B16:D16"/>
    <mergeCell ref="C17:D17"/>
    <mergeCell ref="C18:D18"/>
    <mergeCell ref="C19:D19"/>
    <mergeCell ref="C20:D20"/>
    <mergeCell ref="C21:D21"/>
    <mergeCell ref="C22:D22"/>
    <mergeCell ref="B24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2026-07-05T00:04:22Z</dcterms:created>
  <dc:creator>openpyxl</dc:creator>
  <dc:description/>
  <dc:language>en-US</dc:language>
  <cp:lastModifiedBy/>
  <dcterms:modified xsi:type="dcterms:W3CDTF">2026-07-05T00:07:31Z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