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Hypothèses" sheetId="2" state="visible" r:id="rId4"/>
    <sheet name="CA &amp; Marges" sheetId="3" state="visible" r:id="rId5"/>
    <sheet name="Compte de résultat" sheetId="4" state="visible" r:id="rId6"/>
    <sheet name="Plan de financement" sheetId="5" state="visible" r:id="rId7"/>
    <sheet name="Trésorerie" sheetId="6" state="visible" r:id="rId8"/>
    <sheet name="Synthès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Nombre de places en salle (et terrasse).</t>
        </r>
      </text>
    </comment>
    <comment ref="C6" authorId="0">
      <text>
        <r>
          <rPr>
            <sz val="10"/>
            <rFont val="Arial"/>
            <family val="2"/>
          </rPr>
          <t xml:space="preserve">Nb de fois où une table est réoccupée sur la journée (midi + soir).</t>
        </r>
      </text>
    </comment>
    <comment ref="C8" authorId="0">
      <text>
        <r>
          <rPr>
            <sz val="10"/>
            <rFont val="Arial"/>
            <family val="2"/>
          </rPr>
          <t xml:space="preserve">Taux d'occupation réaliste la 1re année (jamais 100 %).</t>
        </r>
      </text>
    </comment>
    <comment ref="C14" authorId="0">
      <text>
        <r>
          <rPr>
            <sz val="10"/>
            <rFont val="Arial"/>
            <family val="2"/>
          </rPr>
          <t xml:space="preserve">Sert à ventiler la TVA (20 % sur l'alcool).</t>
        </r>
      </text>
    </comment>
    <comment ref="C23" authorId="0">
      <text>
        <r>
          <rPr>
            <sz val="10"/>
            <rFont val="Arial"/>
            <family val="2"/>
          </rPr>
          <t xml:space="preserve">Ratio matière food : souvent 28-35 %.</t>
        </r>
      </text>
    </comment>
    <comment ref="C29" authorId="0">
      <text>
        <r>
          <rPr>
            <sz val="10"/>
            <rFont val="Arial"/>
            <family val="2"/>
          </rPr>
          <t xml:space="preserve">Salaires + charges. Poste le + lourd (souvent 35-45 % du CA).</t>
        </r>
      </text>
    </comment>
    <comment ref="C37" authorId="0">
      <text>
        <r>
          <rPr>
            <sz val="10"/>
            <rFont val="Arial"/>
            <family val="2"/>
          </rPr>
          <t xml:space="preserve">Uber Eats / Deliveroo : ~25-30 %.</t>
        </r>
      </text>
    </comment>
    <comment ref="C49" authorId="0">
      <text>
        <r>
          <rPr>
            <sz val="10"/>
            <rFont val="Arial"/>
            <family val="2"/>
          </rPr>
          <t xml:space="preserve">Base amortie = travaux + matériel (voir Plan de financement).</t>
        </r>
      </text>
    </comment>
    <comment ref="C52" authorId="0">
      <text>
        <r>
          <rPr>
            <sz val="10"/>
            <rFont val="Arial"/>
            <family val="2"/>
          </rPr>
          <t xml:space="preserve">0 si création pure.</t>
        </r>
      </text>
    </comment>
    <comment ref="C62" authorId="0">
      <text>
        <r>
          <rPr>
            <sz val="10"/>
            <rFont val="Arial"/>
            <family val="2"/>
          </rPr>
          <t xml:space="preserve">Plus il est élevé, plus la banque te suit.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0" authorId="0">
      <text>
        <r>
          <rPr>
            <sz val="10"/>
            <rFont val="Arial"/>
            <family val="2"/>
          </rPr>
          <t xml:space="preserve">Taux légaux : 10 % sur place / 5,5 % à emporter scellé / 20 % alcool. Ta caisse certifiée NF525 doit ventiler automatiquement.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5" authorId="0">
      <text>
        <r>
          <rPr>
            <sz val="10"/>
            <rFont val="Arial"/>
            <family val="2"/>
          </rPr>
          <t xml:space="preserve">IS : 15 % jusqu'à 42 500 € de bénéfice (sous conditions : CA&lt;10 M€, capital libéré, ≥75 % détenu par des personnes physiques), 25 % au-delà.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4" authorId="0">
      <text>
        <r>
          <rPr>
            <sz val="10"/>
            <rFont val="Arial"/>
            <family val="2"/>
          </rPr>
          <t xml:space="preserve">Répartis ton activité sur l'année. La somme doit faire 100 %.</t>
        </r>
      </text>
    </comment>
  </commentList>
</comments>
</file>

<file path=xl/sharedStrings.xml><?xml version="1.0" encoding="utf-8"?>
<sst xmlns="http://schemas.openxmlformats.org/spreadsheetml/2006/main" count="255" uniqueCount="205">
  <si>
    <t xml:space="preserve">BUSINESS PLAN — RESTAURANT</t>
  </si>
  <si>
    <t xml:space="preserve">Modèle Excel gratuit · ComptaCool, l'expert-comptable en ligne des indépendants</t>
  </si>
  <si>
    <t xml:space="preserve">Comment utiliser ce fichier</t>
  </si>
  <si>
    <t xml:space="preserve">Tu ne remplis QUE les cellules bleues. Tout le reste se calcule automatiquement.</t>
  </si>
  <si>
    <t xml:space="preserve">1. Onglet « Hypothèses » : saisis les données de ton projet (capacité, ticket moyen, coûts, charges, financement).</t>
  </si>
  <si>
    <t xml:space="preserve">2. Onglet « Trésorerie » : répartis ton activité mois par mois (la somme des poids doit faire 100 %).</t>
  </si>
  <si>
    <t xml:space="preserve">3. Les onglets « CA &amp; Marges », « Compte de résultat » et « Plan de financement » se remplissent tout seuls.</t>
  </si>
  <si>
    <t xml:space="preserve">4. Onglet « Synthèse » : lis tes ratios clés (food cost, prime cost, marge d'EBE…) et le VERDICT automatique.</t>
  </si>
  <si>
    <t xml:space="preserve">5. Teste plusieurs scénarios : duplique le fichier pour une version réaliste et une version pessimiste.</t>
  </si>
  <si>
    <t xml:space="preserve">Code couleur</t>
  </si>
  <si>
    <t xml:space="preserve">   Cellule à remplir par toi</t>
  </si>
  <si>
    <t xml:space="preserve">   Cellule calculée automatiquement — ne pas modifier</t>
  </si>
  <si>
    <t xml:space="preserve">⚠️ Ce modèle te donne la structure et les calculs : les chiffres que tu y mets doivent être crédibles. Pour valoriser le fonds, retraiter l'EBE du cédant et fiabiliser ton prévisionnel, fais-toi accompagner.</t>
  </si>
  <si>
    <t xml:space="preserve">Offert par ComptaCool — expert.comptable@comptacool.fr — comptacool.fr</t>
  </si>
  <si>
    <t xml:space="preserve">HYPOTHÈSES</t>
  </si>
  <si>
    <t xml:space="preserve">Ton unique point de saisie — ne remplis que les cellules bleues</t>
  </si>
  <si>
    <t xml:space="preserve">1. CAPACITÉ &amp; ACTIVITÉ</t>
  </si>
  <si>
    <t xml:space="preserve">Places assises (couverts)</t>
  </si>
  <si>
    <t xml:space="preserve">couverts</t>
  </si>
  <si>
    <t xml:space="preserve">Rotations moyennes par jour</t>
  </si>
  <si>
    <t xml:space="preserve">× / jour</t>
  </si>
  <si>
    <t xml:space="preserve">Jours d'ouverture par an</t>
  </si>
  <si>
    <t xml:space="preserve">jours</t>
  </si>
  <si>
    <t xml:space="preserve">Taux de remplissage moyen — Année 1</t>
  </si>
  <si>
    <t xml:space="preserve">% des places</t>
  </si>
  <si>
    <t xml:space="preserve">→ Couverts servis / an (Année 1)</t>
  </si>
  <si>
    <t xml:space="preserve">calculé</t>
  </si>
  <si>
    <t xml:space="preserve">2. TICKET MOYEN &amp; CHIFFRE D'AFFAIRES</t>
  </si>
  <si>
    <t xml:space="preserve">Ticket moyen NOURRITURE (HT)</t>
  </si>
  <si>
    <t xml:space="preserve">€ / couvert</t>
  </si>
  <si>
    <t xml:space="preserve">Ticket moyen BOISSONS (HT)</t>
  </si>
  <si>
    <t xml:space="preserve">Part des boissons ALCOOLISÉES</t>
  </si>
  <si>
    <t xml:space="preserve">% des boissons (TVA 20 %)</t>
  </si>
  <si>
    <t xml:space="preserve">CA vente À EMPORTER — Année 1 (HT)</t>
  </si>
  <si>
    <t xml:space="preserve">€ / an</t>
  </si>
  <si>
    <t xml:space="preserve">CA LIVRAISON — Année 1 (HT)</t>
  </si>
  <si>
    <t xml:space="preserve">3. CROISSANCE DU CHIFFRE D'AFFAIRES</t>
  </si>
  <si>
    <t xml:space="preserve">Croissance du CA — Année 2</t>
  </si>
  <si>
    <t xml:space="preserve">% vs Année 1</t>
  </si>
  <si>
    <t xml:space="preserve">Croissance du CA — Année 3</t>
  </si>
  <si>
    <t xml:space="preserve">% vs Année 2</t>
  </si>
  <si>
    <t xml:space="preserve">4. COÛTS MATIÈRES (FOOD COST)</t>
  </si>
  <si>
    <t xml:space="preserve">Coût matière NOURRITURE</t>
  </si>
  <si>
    <t xml:space="preserve">% du CA nourriture</t>
  </si>
  <si>
    <t xml:space="preserve">Coût matière BOISSONS</t>
  </si>
  <si>
    <t xml:space="preserve">% du CA boissons</t>
  </si>
  <si>
    <t xml:space="preserve">Coût matière À EMPORTER</t>
  </si>
  <si>
    <t xml:space="preserve">% du CA à emporter</t>
  </si>
  <si>
    <t xml:space="preserve">Coût matière LIVRAISON</t>
  </si>
  <si>
    <t xml:space="preserve">% du CA livraison</t>
  </si>
  <si>
    <t xml:space="preserve">5. PERSONNEL</t>
  </si>
  <si>
    <t xml:space="preserve">Masse salariale chargée — Année 1</t>
  </si>
  <si>
    <t xml:space="preserve">Évolution masse salariale — An2 &amp; An3</t>
  </si>
  <si>
    <t xml:space="preserve">% / an</t>
  </si>
  <si>
    <t xml:space="preserve">Effectif (ETP)</t>
  </si>
  <si>
    <t xml:space="preserve">ETP</t>
  </si>
  <si>
    <t xml:space="preserve">6. CHARGES EXTERNES (Année 1)</t>
  </si>
  <si>
    <t xml:space="preserve">Loyer annuel</t>
  </si>
  <si>
    <t xml:space="preserve">Énergie (élec, gaz, eau)</t>
  </si>
  <si>
    <t xml:space="preserve">Petit équipement &amp; consommables</t>
  </si>
  <si>
    <t xml:space="preserve">Commission plateformes livraison</t>
  </si>
  <si>
    <t xml:space="preserve">Assurances</t>
  </si>
  <si>
    <t xml:space="preserve">Honoraires (expert-comptable…)</t>
  </si>
  <si>
    <t xml:space="preserve">Marketing &amp; communication</t>
  </si>
  <si>
    <t xml:space="preserve">Entretien &amp; maintenance</t>
  </si>
  <si>
    <t xml:space="preserve">Autres charges externes</t>
  </si>
  <si>
    <t xml:space="preserve">Inflation des charges — An2 &amp; An3</t>
  </si>
  <si>
    <t xml:space="preserve">7. IMPÔTS &amp; TAXES</t>
  </si>
  <si>
    <t xml:space="preserve">CFE &amp; taxes diverses (annuel)</t>
  </si>
  <si>
    <t xml:space="preserve">8. AMORTISSEMENT</t>
  </si>
  <si>
    <t xml:space="preserve">Durée d'amortissement (travaux + matériel)</t>
  </si>
  <si>
    <t xml:space="preserve">ans</t>
  </si>
  <si>
    <t xml:space="preserve">9. PLAN DE FINANCEMENT — BESOINS</t>
  </si>
  <si>
    <t xml:space="preserve">Rachat du fonds / droit au bail</t>
  </si>
  <si>
    <t xml:space="preserve">€</t>
  </si>
  <si>
    <t xml:space="preserve">Travaux &amp; aménagement</t>
  </si>
  <si>
    <t xml:space="preserve">Matériel &amp; mobilier de cuisine</t>
  </si>
  <si>
    <t xml:space="preserve">Frais d'établissement &amp; honoraires</t>
  </si>
  <si>
    <t xml:space="preserve">Droits d'enregistrement</t>
  </si>
  <si>
    <t xml:space="preserve">Stock initial</t>
  </si>
  <si>
    <t xml:space="preserve">Dépôt de garantie (loyer)</t>
  </si>
  <si>
    <t xml:space="preserve">Trésorerie de démarrage souhaitée</t>
  </si>
  <si>
    <t xml:space="preserve">10. PLAN DE FINANCEMENT — RESSOURCES &amp; EMPRUNT</t>
  </si>
  <si>
    <t xml:space="preserve">Apport personnel</t>
  </si>
  <si>
    <t xml:space="preserve">Montant de l'emprunt</t>
  </si>
  <si>
    <t xml:space="preserve">Taux d'intérêt annuel</t>
  </si>
  <si>
    <t xml:space="preserve">Durée de l'emprunt</t>
  </si>
  <si>
    <t xml:space="preserve">CA &amp; MARGES</t>
  </si>
  <si>
    <t xml:space="preserve">Chiffre d'affaires par segment, food cost, prime cost et ventilation TVA</t>
  </si>
  <si>
    <t xml:space="preserve">CHIFFRE D'AFFAIRES (HT)</t>
  </si>
  <si>
    <t xml:space="preserve">Année 1</t>
  </si>
  <si>
    <t xml:space="preserve">Année 2</t>
  </si>
  <si>
    <t xml:space="preserve">Année 3</t>
  </si>
  <si>
    <t xml:space="preserve">CA nourriture</t>
  </si>
  <si>
    <t xml:space="preserve">CA boissons</t>
  </si>
  <si>
    <t xml:space="preserve">CA vente à emporter</t>
  </si>
  <si>
    <t xml:space="preserve">CA livraison</t>
  </si>
  <si>
    <t xml:space="preserve">CHIFFRE D'AFFAIRES TOTAL HT</t>
  </si>
  <si>
    <t xml:space="preserve">COÛTS MATIÈRES (ACHATS CONSOMMÉS)</t>
  </si>
  <si>
    <t xml:space="preserve">Coût matière nourriture</t>
  </si>
  <si>
    <t xml:space="preserve">Coût matière boissons</t>
  </si>
  <si>
    <t xml:space="preserve">Coût matière à emporter</t>
  </si>
  <si>
    <t xml:space="preserve">Coût matière livraison</t>
  </si>
  <si>
    <t xml:space="preserve">TOTAL COÛT MATIÈRE</t>
  </si>
  <si>
    <t xml:space="preserve">MARGE BRUTE</t>
  </si>
  <si>
    <t xml:space="preserve">Taux de marge brute</t>
  </si>
  <si>
    <t xml:space="preserve">Food cost (coût matière / CA)</t>
  </si>
  <si>
    <t xml:space="preserve">PERSONNEL &amp; PRIME COST</t>
  </si>
  <si>
    <t xml:space="preserve">Masse salariale chargée</t>
  </si>
  <si>
    <t xml:space="preserve">Ratio masse salariale / CA</t>
  </si>
  <si>
    <t xml:space="preserve">PRIME COST (matière + personnel)</t>
  </si>
  <si>
    <t xml:space="preserve">Prime cost (% du CA)</t>
  </si>
  <si>
    <t xml:space="preserve">VENTILATION TVA ESTIMÉE — Année 1</t>
  </si>
  <si>
    <t xml:space="preserve">Base TVA 10 % (sur place + livraison)</t>
  </si>
  <si>
    <t xml:space="preserve">Base TVA 5,5 % (à emporter, contenant fermé)</t>
  </si>
  <si>
    <t xml:space="preserve">Base TVA 20 % (boissons alcoolisées)</t>
  </si>
  <si>
    <t xml:space="preserve">TVA collectée estimée</t>
  </si>
  <si>
    <t xml:space="preserve">CA TTC estimé (Année 1)</t>
  </si>
  <si>
    <t xml:space="preserve">COMPTE DE RÉSULTAT PRÉVISIONNEL</t>
  </si>
  <si>
    <t xml:space="preserve">Sur 3 ans — du chiffre d'affaires au résultat net</t>
  </si>
  <si>
    <t xml:space="preserve">(€ HT)</t>
  </si>
  <si>
    <t xml:space="preserve">Chiffre d'affaires HT</t>
  </si>
  <si>
    <t xml:space="preserve">Coût matières (achats consommés)</t>
  </si>
  <si>
    <t xml:space="preserve">Loyer</t>
  </si>
  <si>
    <t xml:space="preserve">Énergie</t>
  </si>
  <si>
    <t xml:space="preserve">Commissions plateformes livraison</t>
  </si>
  <si>
    <t xml:space="preserve">Honoraires</t>
  </si>
  <si>
    <t xml:space="preserve">Total charges externes</t>
  </si>
  <si>
    <t xml:space="preserve">Impôts &amp; taxes (CFE…)</t>
  </si>
  <si>
    <t xml:space="preserve">EXCÉDENT BRUT D'EXPLOITATION (EBE)</t>
  </si>
  <si>
    <t xml:space="preserve">Marge d'EBE (%)</t>
  </si>
  <si>
    <t xml:space="preserve">Dotations aux amortissements</t>
  </si>
  <si>
    <t xml:space="preserve">RÉSULTAT D'EXPLOITATION</t>
  </si>
  <si>
    <t xml:space="preserve">Charges financières (intérêts)</t>
  </si>
  <si>
    <t xml:space="preserve">RÉSULTAT AVANT IMPÔT</t>
  </si>
  <si>
    <t xml:space="preserve">Impôt sur les sociétés (IS)</t>
  </si>
  <si>
    <t xml:space="preserve">RÉSULTAT NET</t>
  </si>
  <si>
    <t xml:space="preserve">PLAN DE FINANCEMENT</t>
  </si>
  <si>
    <t xml:space="preserve">Besoins, ressources et échéancier de l'emprunt</t>
  </si>
  <si>
    <t xml:space="preserve">BESOINS</t>
  </si>
  <si>
    <t xml:space="preserve">Montant (€)</t>
  </si>
  <si>
    <t xml:space="preserve">Dépôt de garantie</t>
  </si>
  <si>
    <t xml:space="preserve">Trésorerie de démarrage</t>
  </si>
  <si>
    <t xml:space="preserve">TOTAL BESOINS</t>
  </si>
  <si>
    <t xml:space="preserve">RESSOURCES</t>
  </si>
  <si>
    <t xml:space="preserve">Emprunt bancaire</t>
  </si>
  <si>
    <t xml:space="preserve">TOTAL RESSOURCES</t>
  </si>
  <si>
    <t xml:space="preserve">Équilibre (Ressources − Besoins)</t>
  </si>
  <si>
    <t xml:space="preserve">ÉCHÉANCIER DE L'EMPRUNT</t>
  </si>
  <si>
    <t xml:space="preserve">Montant emprunté</t>
  </si>
  <si>
    <t xml:space="preserve">Durée (années)</t>
  </si>
  <si>
    <t xml:space="preserve">Annuité constante</t>
  </si>
  <si>
    <t xml:space="preserve">Année</t>
  </si>
  <si>
    <t xml:space="preserve">Capital début</t>
  </si>
  <si>
    <t xml:space="preserve">Intérêts</t>
  </si>
  <si>
    <t xml:space="preserve">Capital remboursé</t>
  </si>
  <si>
    <t xml:space="preserve">Annuité</t>
  </si>
  <si>
    <t xml:space="preserve">Capital fin</t>
  </si>
  <si>
    <t xml:space="preserve">PLAN DE TRÉSORERIE — Année 1</t>
  </si>
  <si>
    <t xml:space="preserve">Mois par mois · base HT · charges fixes lissées sur 12 mois</t>
  </si>
  <si>
    <t xml:space="preserve">(€ HT, Année 1)</t>
  </si>
  <si>
    <t xml:space="preserve">Janv</t>
  </si>
  <si>
    <t xml:space="preserve">Févr</t>
  </si>
  <si>
    <t xml:space="preserve">Mars</t>
  </si>
  <si>
    <t xml:space="preserve">Avr</t>
  </si>
  <si>
    <t xml:space="preserve">Mai</t>
  </si>
  <si>
    <t xml:space="preserve">Juin</t>
  </si>
  <si>
    <t xml:space="preserve">Juil</t>
  </si>
  <si>
    <t xml:space="preserve">Août</t>
  </si>
  <si>
    <t xml:space="preserve">Sept</t>
  </si>
  <si>
    <t xml:space="preserve">Oct</t>
  </si>
  <si>
    <t xml:space="preserve">Nov</t>
  </si>
  <si>
    <t xml:space="preserve">Déc</t>
  </si>
  <si>
    <t xml:space="preserve">Total</t>
  </si>
  <si>
    <t xml:space="preserve">Poids saisonnier (somme = 100 %)</t>
  </si>
  <si>
    <t xml:space="preserve">Encaissements (CA HT)</t>
  </si>
  <si>
    <t xml:space="preserve">Décaissements</t>
  </si>
  <si>
    <t xml:space="preserve">Coût matières (variable)</t>
  </si>
  <si>
    <t xml:space="preserve">Commissions plateformes (variable)</t>
  </si>
  <si>
    <t xml:space="preserve">Masse salariale (fixe)</t>
  </si>
  <si>
    <t xml:space="preserve">Loyer (fixe)</t>
  </si>
  <si>
    <t xml:space="preserve">Autres charges externes (fixe)</t>
  </si>
  <si>
    <t xml:space="preserve">Impôts &amp; taxes (fixe)</t>
  </si>
  <si>
    <t xml:space="preserve">Annuité d'emprunt</t>
  </si>
  <si>
    <t xml:space="preserve">Total décaissements</t>
  </si>
  <si>
    <t xml:space="preserve">Solde du mois</t>
  </si>
  <si>
    <t xml:space="preserve">Trésorerie cumulée</t>
  </si>
  <si>
    <t xml:space="preserve">Trésorerie de démarrage (apportée)</t>
  </si>
  <si>
    <t xml:space="preserve">Trésorerie minimale — Année 1</t>
  </si>
  <si>
    <t xml:space="preserve">Trésorerie de fin — Année 1</t>
  </si>
  <si>
    <t xml:space="preserve">Note : trésorerie présentée hors TVA (collectée et déductible se compensent dans le temps). Les coûts variables (matière, commissions) suivent la saisonnalité ; les charges fixes sont lissées sur 12 mois.</t>
  </si>
  <si>
    <t xml:space="preserve">SYNTHÈSE &amp; VERDICT</t>
  </si>
  <si>
    <t xml:space="preserve">Tes indicateurs clés et le diagnostic automatique de viabilité</t>
  </si>
  <si>
    <t xml:space="preserve">INDICATEURS CLÉS</t>
  </si>
  <si>
    <t xml:space="preserve">Excédent brut d'exploitation (EBE)</t>
  </si>
  <si>
    <t xml:space="preserve">Résultat net</t>
  </si>
  <si>
    <t xml:space="preserve">RATIOS DE GESTION (Année 1)</t>
  </si>
  <si>
    <t xml:space="preserve">Ratio masse salariale (% du CA)</t>
  </si>
  <si>
    <t xml:space="preserve">Prime cost (matière + personnel)</t>
  </si>
  <si>
    <t xml:space="preserve">CA par couvert (€)</t>
  </si>
  <si>
    <t xml:space="preserve">Seuil de rentabilité (CA HT)</t>
  </si>
  <si>
    <t xml:space="preserve">Multiple de valorisation du fonds (× EBE)</t>
  </si>
  <si>
    <t xml:space="preserve">Équilibre du plan de financement</t>
  </si>
  <si>
    <t xml:space="preserve">VERDICT AUTOMATIQUE</t>
  </si>
  <si>
    <t xml:space="preserve">Modèle offert par ComptaCool — on t'aide à fiabiliser ton business plan et convaincre ta banque · expert.comptable@comptacool.fr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</si>
</sst>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"/>
    <numFmt numFmtId="167" formatCode="0.0%"/>
    <numFmt numFmtId="168" formatCode="#,##0&quot; €&quot;;\(#,##0&quot; €)&quot;"/>
    <numFmt numFmtId="169" formatCode="0.0\x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2D5A8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3"/>
      <color rgb="FF1A1A1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D5A8C"/>
        <bgColor rgb="FF0066CC"/>
      </patternFill>
    </fill>
    <fill>
      <patternFill patternType="solid">
        <fgColor rgb="FFDCE9F7"/>
        <bgColor rgb="FFC9E7CC"/>
      </patternFill>
    </fill>
    <fill>
      <patternFill patternType="solid">
        <fgColor rgb="FFFBF3E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/>
      <right/>
      <top style="thin">
        <color rgb="FF2D5A8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9E7CC"/>
        </patternFill>
      </fill>
    </dxf>
    <dxf>
      <fill>
        <patternFill>
          <bgColor rgb="FFFBE2B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BF3E2"/>
      <rgbColor rgb="FFDCE9F7"/>
      <rgbColor rgb="FF660066"/>
      <rgbColor rgb="FFDAA55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9E7CC"/>
      <rgbColor rgb="FFFFFF99"/>
      <rgbColor rgb="FF99CCFF"/>
      <rgbColor rgb="FFFF99CC"/>
      <rgbColor rgb="FFCC99FF"/>
      <rgbColor rgb="FFFBE2B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D5A8C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E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0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0</v>
      </c>
      <c r="C1" s="1"/>
      <c r="D1" s="1"/>
      <c r="E1" s="1"/>
    </row>
    <row r="2" customFormat="false" ht="18" hidden="false" customHeight="true" outlineLevel="0" collapsed="false">
      <c r="B2" s="2" t="s">
        <v>1</v>
      </c>
      <c r="C2" s="2"/>
      <c r="D2" s="2"/>
      <c r="E2" s="2"/>
    </row>
    <row r="4" customFormat="false" ht="15" hidden="false" customHeight="false" outlineLevel="0" collapsed="false">
      <c r="B4" s="3" t="s">
        <v>2</v>
      </c>
    </row>
    <row r="6" customFormat="false" ht="18" hidden="false" customHeight="true" outlineLevel="0" collapsed="false">
      <c r="B6" s="4" t="s">
        <v>3</v>
      </c>
      <c r="C6" s="4"/>
      <c r="D6" s="4"/>
      <c r="E6" s="4"/>
    </row>
    <row r="7" customFormat="false" ht="19.5" hidden="false" customHeight="true" outlineLevel="0" collapsed="false">
      <c r="B7" s="5" t="s">
        <v>4</v>
      </c>
      <c r="C7" s="5"/>
      <c r="D7" s="5"/>
      <c r="E7" s="5"/>
    </row>
    <row r="8" customFormat="false" ht="19.5" hidden="false" customHeight="true" outlineLevel="0" collapsed="false">
      <c r="B8" s="5" t="s">
        <v>5</v>
      </c>
      <c r="C8" s="5"/>
      <c r="D8" s="5"/>
      <c r="E8" s="5"/>
    </row>
    <row r="9" customFormat="false" ht="19.5" hidden="false" customHeight="true" outlineLevel="0" collapsed="false">
      <c r="B9" s="5" t="s">
        <v>6</v>
      </c>
      <c r="C9" s="5"/>
      <c r="D9" s="5"/>
      <c r="E9" s="5"/>
    </row>
    <row r="10" customFormat="false" ht="19.5" hidden="false" customHeight="true" outlineLevel="0" collapsed="false">
      <c r="B10" s="5" t="s">
        <v>7</v>
      </c>
      <c r="C10" s="5"/>
      <c r="D10" s="5"/>
      <c r="E10" s="5"/>
    </row>
    <row r="11" customFormat="false" ht="19.5" hidden="false" customHeight="true" outlineLevel="0" collapsed="false">
      <c r="B11" s="5" t="s">
        <v>8</v>
      </c>
      <c r="C11" s="5"/>
      <c r="D11" s="5"/>
      <c r="E11" s="5"/>
    </row>
    <row r="13" customFormat="false" ht="15" hidden="false" customHeight="false" outlineLevel="0" collapsed="false">
      <c r="B13" s="3" t="s">
        <v>9</v>
      </c>
    </row>
    <row r="14" customFormat="false" ht="15" hidden="false" customHeight="false" outlineLevel="0" collapsed="false">
      <c r="B14" s="6" t="s">
        <v>10</v>
      </c>
      <c r="C14" s="6"/>
      <c r="D14" s="6"/>
      <c r="E14" s="6"/>
    </row>
    <row r="15" customFormat="false" ht="15" hidden="false" customHeight="false" outlineLevel="0" collapsed="false">
      <c r="B15" s="7" t="s">
        <v>11</v>
      </c>
      <c r="C15" s="7"/>
      <c r="D15" s="7"/>
      <c r="E15" s="7"/>
    </row>
    <row r="17" customFormat="false" ht="43.5" hidden="false" customHeight="true" outlineLevel="0" collapsed="false">
      <c r="B17" s="8" t="s">
        <v>12</v>
      </c>
      <c r="C17" s="8"/>
      <c r="D17" s="8"/>
      <c r="E17" s="8"/>
    </row>
    <row r="19" customFormat="false" ht="15" hidden="false" customHeight="false" outlineLevel="0" collapsed="false">
      <c r="B19" s="9" t="s">
        <v>13</v>
      </c>
      <c r="C19" s="9"/>
      <c r="D19" s="9"/>
      <c r="E19" s="9"/>
    </row>
  </sheetData>
  <mergeCells count="12">
    <mergeCell ref="B1:E1"/>
    <mergeCell ref="B2:E2"/>
    <mergeCell ref="B6:E6"/>
    <mergeCell ref="B7:E7"/>
    <mergeCell ref="B8:E8"/>
    <mergeCell ref="B9:E9"/>
    <mergeCell ref="B10:E10"/>
    <mergeCell ref="B11:E11"/>
    <mergeCell ref="B14:E14"/>
    <mergeCell ref="B15:E15"/>
    <mergeCell ref="B17:E17"/>
    <mergeCell ref="B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3" min="3" style="0" width="16"/>
    <col collapsed="false" customWidth="true" hidden="false" outlineLevel="0" max="4" min="4" style="0" width="26"/>
    <col collapsed="false" customWidth="true" hidden="false" outlineLevel="0" max="5" min="5" style="0" width="2"/>
  </cols>
  <sheetData>
    <row r="1" customFormat="false" ht="33.75" hidden="false" customHeight="true" outlineLevel="0" collapsed="false">
      <c r="B1" s="1" t="s">
        <v>14</v>
      </c>
      <c r="C1" s="1"/>
      <c r="D1" s="1"/>
    </row>
    <row r="2" customFormat="false" ht="18" hidden="false" customHeight="true" outlineLevel="0" collapsed="false">
      <c r="B2" s="2" t="s">
        <v>15</v>
      </c>
      <c r="C2" s="2"/>
      <c r="D2" s="2"/>
    </row>
    <row r="4" customFormat="false" ht="19.5" hidden="false" customHeight="true" outlineLevel="0" collapsed="false">
      <c r="B4" s="10" t="s">
        <v>16</v>
      </c>
      <c r="C4" s="10"/>
      <c r="D4" s="10"/>
    </row>
    <row r="5" customFormat="false" ht="15" hidden="false" customHeight="false" outlineLevel="0" collapsed="false">
      <c r="B5" s="11" t="s">
        <v>17</v>
      </c>
      <c r="C5" s="12" t="n">
        <v>40</v>
      </c>
      <c r="D5" s="13" t="s">
        <v>18</v>
      </c>
    </row>
    <row r="6" customFormat="false" ht="15" hidden="false" customHeight="false" outlineLevel="0" collapsed="false">
      <c r="B6" s="11" t="s">
        <v>19</v>
      </c>
      <c r="C6" s="14" t="n">
        <v>1.6</v>
      </c>
      <c r="D6" s="13" t="s">
        <v>20</v>
      </c>
    </row>
    <row r="7" customFormat="false" ht="15" hidden="false" customHeight="false" outlineLevel="0" collapsed="false">
      <c r="B7" s="11" t="s">
        <v>21</v>
      </c>
      <c r="C7" s="12" t="n">
        <v>300</v>
      </c>
      <c r="D7" s="13" t="s">
        <v>22</v>
      </c>
    </row>
    <row r="8" customFormat="false" ht="15" hidden="false" customHeight="false" outlineLevel="0" collapsed="false">
      <c r="B8" s="11" t="s">
        <v>23</v>
      </c>
      <c r="C8" s="15" t="n">
        <v>0.65</v>
      </c>
      <c r="D8" s="13" t="s">
        <v>24</v>
      </c>
    </row>
    <row r="9" customFormat="false" ht="15" hidden="false" customHeight="false" outlineLevel="0" collapsed="false">
      <c r="B9" s="16" t="s">
        <v>25</v>
      </c>
      <c r="C9" s="17" t="n">
        <f aca="false">C5*C6*C7*C8</f>
        <v>12480</v>
      </c>
      <c r="D9" s="13" t="s">
        <v>26</v>
      </c>
    </row>
    <row r="11" customFormat="false" ht="19.5" hidden="false" customHeight="true" outlineLevel="0" collapsed="false">
      <c r="B11" s="10" t="s">
        <v>27</v>
      </c>
      <c r="C11" s="10"/>
      <c r="D11" s="10"/>
    </row>
    <row r="12" customFormat="false" ht="15" hidden="false" customHeight="false" outlineLevel="0" collapsed="false">
      <c r="B12" s="11" t="s">
        <v>28</v>
      </c>
      <c r="C12" s="18" t="n">
        <v>22</v>
      </c>
      <c r="D12" s="13" t="s">
        <v>29</v>
      </c>
    </row>
    <row r="13" customFormat="false" ht="15" hidden="false" customHeight="false" outlineLevel="0" collapsed="false">
      <c r="B13" s="11" t="s">
        <v>30</v>
      </c>
      <c r="C13" s="18" t="n">
        <v>8</v>
      </c>
      <c r="D13" s="13" t="s">
        <v>29</v>
      </c>
    </row>
    <row r="14" customFormat="false" ht="15" hidden="false" customHeight="false" outlineLevel="0" collapsed="false">
      <c r="B14" s="11" t="s">
        <v>31</v>
      </c>
      <c r="C14" s="15" t="n">
        <v>0.7</v>
      </c>
      <c r="D14" s="13" t="s">
        <v>32</v>
      </c>
    </row>
    <row r="15" customFormat="false" ht="15" hidden="false" customHeight="false" outlineLevel="0" collapsed="false">
      <c r="B15" s="11" t="s">
        <v>33</v>
      </c>
      <c r="C15" s="18" t="n">
        <v>15000</v>
      </c>
      <c r="D15" s="13" t="s">
        <v>34</v>
      </c>
    </row>
    <row r="16" customFormat="false" ht="15" hidden="false" customHeight="false" outlineLevel="0" collapsed="false">
      <c r="B16" s="11" t="s">
        <v>35</v>
      </c>
      <c r="C16" s="18" t="n">
        <v>40000</v>
      </c>
      <c r="D16" s="13" t="s">
        <v>34</v>
      </c>
    </row>
    <row r="18" customFormat="false" ht="19.5" hidden="false" customHeight="true" outlineLevel="0" collapsed="false">
      <c r="B18" s="10" t="s">
        <v>36</v>
      </c>
      <c r="C18" s="10"/>
      <c r="D18" s="10"/>
    </row>
    <row r="19" customFormat="false" ht="15" hidden="false" customHeight="false" outlineLevel="0" collapsed="false">
      <c r="B19" s="11" t="s">
        <v>37</v>
      </c>
      <c r="C19" s="15" t="n">
        <v>0.08</v>
      </c>
      <c r="D19" s="13" t="s">
        <v>38</v>
      </c>
    </row>
    <row r="20" customFormat="false" ht="15" hidden="false" customHeight="false" outlineLevel="0" collapsed="false">
      <c r="B20" s="11" t="s">
        <v>39</v>
      </c>
      <c r="C20" s="15" t="n">
        <v>0.05</v>
      </c>
      <c r="D20" s="13" t="s">
        <v>40</v>
      </c>
    </row>
    <row r="22" customFormat="false" ht="19.5" hidden="false" customHeight="true" outlineLevel="0" collapsed="false">
      <c r="B22" s="10" t="s">
        <v>41</v>
      </c>
      <c r="C22" s="10"/>
      <c r="D22" s="10"/>
    </row>
    <row r="23" customFormat="false" ht="15" hidden="false" customHeight="false" outlineLevel="0" collapsed="false">
      <c r="B23" s="11" t="s">
        <v>42</v>
      </c>
      <c r="C23" s="15" t="n">
        <v>0.3</v>
      </c>
      <c r="D23" s="13" t="s">
        <v>43</v>
      </c>
    </row>
    <row r="24" customFormat="false" ht="15" hidden="false" customHeight="false" outlineLevel="0" collapsed="false">
      <c r="B24" s="11" t="s">
        <v>44</v>
      </c>
      <c r="C24" s="15" t="n">
        <v>0.25</v>
      </c>
      <c r="D24" s="13" t="s">
        <v>45</v>
      </c>
    </row>
    <row r="25" customFormat="false" ht="15" hidden="false" customHeight="false" outlineLevel="0" collapsed="false">
      <c r="B25" s="11" t="s">
        <v>46</v>
      </c>
      <c r="C25" s="15" t="n">
        <v>0.32</v>
      </c>
      <c r="D25" s="13" t="s">
        <v>47</v>
      </c>
    </row>
    <row r="26" customFormat="false" ht="15" hidden="false" customHeight="false" outlineLevel="0" collapsed="false">
      <c r="B26" s="11" t="s">
        <v>48</v>
      </c>
      <c r="C26" s="15" t="n">
        <v>0.33</v>
      </c>
      <c r="D26" s="13" t="s">
        <v>49</v>
      </c>
    </row>
    <row r="28" customFormat="false" ht="19.5" hidden="false" customHeight="true" outlineLevel="0" collapsed="false">
      <c r="B28" s="10" t="s">
        <v>50</v>
      </c>
      <c r="C28" s="10"/>
      <c r="D28" s="10"/>
    </row>
    <row r="29" customFormat="false" ht="15" hidden="false" customHeight="false" outlineLevel="0" collapsed="false">
      <c r="B29" s="11" t="s">
        <v>51</v>
      </c>
      <c r="C29" s="18" t="n">
        <v>160000</v>
      </c>
      <c r="D29" s="13" t="s">
        <v>34</v>
      </c>
    </row>
    <row r="30" customFormat="false" ht="15" hidden="false" customHeight="false" outlineLevel="0" collapsed="false">
      <c r="B30" s="11" t="s">
        <v>52</v>
      </c>
      <c r="C30" s="15" t="n">
        <v>0.04</v>
      </c>
      <c r="D30" s="13" t="s">
        <v>53</v>
      </c>
    </row>
    <row r="31" customFormat="false" ht="15" hidden="false" customHeight="false" outlineLevel="0" collapsed="false">
      <c r="B31" s="11" t="s">
        <v>54</v>
      </c>
      <c r="C31" s="14" t="n">
        <v>7</v>
      </c>
      <c r="D31" s="13" t="s">
        <v>55</v>
      </c>
    </row>
    <row r="33" customFormat="false" ht="19.5" hidden="false" customHeight="true" outlineLevel="0" collapsed="false">
      <c r="B33" s="10" t="s">
        <v>56</v>
      </c>
      <c r="C33" s="10"/>
      <c r="D33" s="10"/>
    </row>
    <row r="34" customFormat="false" ht="15" hidden="false" customHeight="false" outlineLevel="0" collapsed="false">
      <c r="B34" s="11" t="s">
        <v>57</v>
      </c>
      <c r="C34" s="18" t="n">
        <v>36000</v>
      </c>
      <c r="D34" s="13" t="s">
        <v>34</v>
      </c>
    </row>
    <row r="35" customFormat="false" ht="15" hidden="false" customHeight="false" outlineLevel="0" collapsed="false">
      <c r="B35" s="11" t="s">
        <v>58</v>
      </c>
      <c r="C35" s="18" t="n">
        <v>15000</v>
      </c>
      <c r="D35" s="13" t="s">
        <v>34</v>
      </c>
    </row>
    <row r="36" customFormat="false" ht="15" hidden="false" customHeight="false" outlineLevel="0" collapsed="false">
      <c r="B36" s="11" t="s">
        <v>59</v>
      </c>
      <c r="C36" s="18" t="n">
        <v>7000</v>
      </c>
      <c r="D36" s="13" t="s">
        <v>34</v>
      </c>
    </row>
    <row r="37" customFormat="false" ht="15" hidden="false" customHeight="false" outlineLevel="0" collapsed="false">
      <c r="B37" s="11" t="s">
        <v>60</v>
      </c>
      <c r="C37" s="15" t="n">
        <v>0.28</v>
      </c>
      <c r="D37" s="13" t="s">
        <v>49</v>
      </c>
    </row>
    <row r="38" customFormat="false" ht="15" hidden="false" customHeight="false" outlineLevel="0" collapsed="false">
      <c r="B38" s="11" t="s">
        <v>61</v>
      </c>
      <c r="C38" s="18" t="n">
        <v>4500</v>
      </c>
      <c r="D38" s="13" t="s">
        <v>34</v>
      </c>
    </row>
    <row r="39" customFormat="false" ht="15" hidden="false" customHeight="false" outlineLevel="0" collapsed="false">
      <c r="B39" s="11" t="s">
        <v>62</v>
      </c>
      <c r="C39" s="18" t="n">
        <v>6000</v>
      </c>
      <c r="D39" s="13" t="s">
        <v>34</v>
      </c>
    </row>
    <row r="40" customFormat="false" ht="15" hidden="false" customHeight="false" outlineLevel="0" collapsed="false">
      <c r="B40" s="11" t="s">
        <v>63</v>
      </c>
      <c r="C40" s="18" t="n">
        <v>5000</v>
      </c>
      <c r="D40" s="13" t="s">
        <v>34</v>
      </c>
    </row>
    <row r="41" customFormat="false" ht="15" hidden="false" customHeight="false" outlineLevel="0" collapsed="false">
      <c r="B41" s="11" t="s">
        <v>64</v>
      </c>
      <c r="C41" s="18" t="n">
        <v>5000</v>
      </c>
      <c r="D41" s="13" t="s">
        <v>34</v>
      </c>
    </row>
    <row r="42" customFormat="false" ht="15" hidden="false" customHeight="false" outlineLevel="0" collapsed="false">
      <c r="B42" s="11" t="s">
        <v>65</v>
      </c>
      <c r="C42" s="18" t="n">
        <v>4000</v>
      </c>
      <c r="D42" s="13" t="s">
        <v>34</v>
      </c>
    </row>
    <row r="43" customFormat="false" ht="15" hidden="false" customHeight="false" outlineLevel="0" collapsed="false">
      <c r="B43" s="11" t="s">
        <v>66</v>
      </c>
      <c r="C43" s="15" t="n">
        <v>0.03</v>
      </c>
      <c r="D43" s="13" t="s">
        <v>53</v>
      </c>
    </row>
    <row r="45" customFormat="false" ht="19.5" hidden="false" customHeight="true" outlineLevel="0" collapsed="false">
      <c r="B45" s="10" t="s">
        <v>67</v>
      </c>
      <c r="C45" s="10"/>
      <c r="D45" s="10"/>
    </row>
    <row r="46" customFormat="false" ht="15" hidden="false" customHeight="false" outlineLevel="0" collapsed="false">
      <c r="B46" s="11" t="s">
        <v>68</v>
      </c>
      <c r="C46" s="18" t="n">
        <v>4000</v>
      </c>
      <c r="D46" s="13" t="s">
        <v>34</v>
      </c>
    </row>
    <row r="48" customFormat="false" ht="19.5" hidden="false" customHeight="true" outlineLevel="0" collapsed="false">
      <c r="B48" s="10" t="s">
        <v>69</v>
      </c>
      <c r="C48" s="10"/>
      <c r="D48" s="10"/>
    </row>
    <row r="49" customFormat="false" ht="15" hidden="false" customHeight="false" outlineLevel="0" collapsed="false">
      <c r="B49" s="11" t="s">
        <v>70</v>
      </c>
      <c r="C49" s="12" t="n">
        <v>7</v>
      </c>
      <c r="D49" s="13" t="s">
        <v>71</v>
      </c>
    </row>
    <row r="51" customFormat="false" ht="19.5" hidden="false" customHeight="true" outlineLevel="0" collapsed="false">
      <c r="B51" s="10" t="s">
        <v>72</v>
      </c>
      <c r="C51" s="10"/>
      <c r="D51" s="10"/>
    </row>
    <row r="52" customFormat="false" ht="15" hidden="false" customHeight="false" outlineLevel="0" collapsed="false">
      <c r="B52" s="11" t="s">
        <v>73</v>
      </c>
      <c r="C52" s="18" t="n">
        <v>120000</v>
      </c>
      <c r="D52" s="13" t="s">
        <v>74</v>
      </c>
    </row>
    <row r="53" customFormat="false" ht="15" hidden="false" customHeight="false" outlineLevel="0" collapsed="false">
      <c r="B53" s="11" t="s">
        <v>75</v>
      </c>
      <c r="C53" s="18" t="n">
        <v>60000</v>
      </c>
      <c r="D53" s="13" t="s">
        <v>74</v>
      </c>
    </row>
    <row r="54" customFormat="false" ht="15" hidden="false" customHeight="false" outlineLevel="0" collapsed="false">
      <c r="B54" s="11" t="s">
        <v>76</v>
      </c>
      <c r="C54" s="18" t="n">
        <v>50000</v>
      </c>
      <c r="D54" s="13" t="s">
        <v>74</v>
      </c>
    </row>
    <row r="55" customFormat="false" ht="15" hidden="false" customHeight="false" outlineLevel="0" collapsed="false">
      <c r="B55" s="11" t="s">
        <v>77</v>
      </c>
      <c r="C55" s="18" t="n">
        <v>8000</v>
      </c>
      <c r="D55" s="13" t="s">
        <v>74</v>
      </c>
    </row>
    <row r="56" customFormat="false" ht="15" hidden="false" customHeight="false" outlineLevel="0" collapsed="false">
      <c r="B56" s="11" t="s">
        <v>78</v>
      </c>
      <c r="C56" s="18" t="n">
        <v>4000</v>
      </c>
      <c r="D56" s="13" t="s">
        <v>74</v>
      </c>
    </row>
    <row r="57" customFormat="false" ht="15" hidden="false" customHeight="false" outlineLevel="0" collapsed="false">
      <c r="B57" s="11" t="s">
        <v>79</v>
      </c>
      <c r="C57" s="18" t="n">
        <v>12000</v>
      </c>
      <c r="D57" s="13" t="s">
        <v>74</v>
      </c>
    </row>
    <row r="58" customFormat="false" ht="15" hidden="false" customHeight="false" outlineLevel="0" collapsed="false">
      <c r="B58" s="11" t="s">
        <v>80</v>
      </c>
      <c r="C58" s="18" t="n">
        <v>10500</v>
      </c>
      <c r="D58" s="13" t="s">
        <v>74</v>
      </c>
    </row>
    <row r="59" customFormat="false" ht="15" hidden="false" customHeight="false" outlineLevel="0" collapsed="false">
      <c r="B59" s="11" t="s">
        <v>81</v>
      </c>
      <c r="C59" s="18" t="n">
        <v>30000</v>
      </c>
      <c r="D59" s="13" t="s">
        <v>74</v>
      </c>
    </row>
    <row r="61" customFormat="false" ht="19.5" hidden="false" customHeight="true" outlineLevel="0" collapsed="false">
      <c r="B61" s="10" t="s">
        <v>82</v>
      </c>
      <c r="C61" s="10"/>
      <c r="D61" s="10"/>
    </row>
    <row r="62" customFormat="false" ht="15" hidden="false" customHeight="false" outlineLevel="0" collapsed="false">
      <c r="B62" s="11" t="s">
        <v>83</v>
      </c>
      <c r="C62" s="18" t="n">
        <v>90000</v>
      </c>
      <c r="D62" s="13" t="s">
        <v>74</v>
      </c>
    </row>
    <row r="63" customFormat="false" ht="15" hidden="false" customHeight="false" outlineLevel="0" collapsed="false">
      <c r="B63" s="11" t="s">
        <v>84</v>
      </c>
      <c r="C63" s="18" t="n">
        <v>220000</v>
      </c>
      <c r="D63" s="13" t="s">
        <v>74</v>
      </c>
    </row>
    <row r="64" customFormat="false" ht="15" hidden="false" customHeight="false" outlineLevel="0" collapsed="false">
      <c r="B64" s="11" t="s">
        <v>85</v>
      </c>
      <c r="C64" s="15" t="n">
        <v>0.045</v>
      </c>
      <c r="D64" s="13" t="s">
        <v>53</v>
      </c>
    </row>
    <row r="65" customFormat="false" ht="15" hidden="false" customHeight="false" outlineLevel="0" collapsed="false">
      <c r="B65" s="11" t="s">
        <v>86</v>
      </c>
      <c r="C65" s="12" t="n">
        <v>7</v>
      </c>
      <c r="D65" s="13" t="s">
        <v>71</v>
      </c>
    </row>
  </sheetData>
  <mergeCells count="12">
    <mergeCell ref="B1:D1"/>
    <mergeCell ref="B2:D2"/>
    <mergeCell ref="B4:D4"/>
    <mergeCell ref="B11:D11"/>
    <mergeCell ref="B18:D18"/>
    <mergeCell ref="B22:D22"/>
    <mergeCell ref="B28:D28"/>
    <mergeCell ref="B33:D33"/>
    <mergeCell ref="B45:D45"/>
    <mergeCell ref="B48:D48"/>
    <mergeCell ref="B51:D51"/>
    <mergeCell ref="B61:D6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87</v>
      </c>
      <c r="C1" s="1"/>
      <c r="D1" s="1"/>
      <c r="E1" s="1"/>
    </row>
    <row r="2" customFormat="false" ht="18" hidden="false" customHeight="true" outlineLevel="0" collapsed="false">
      <c r="B2" s="2" t="s">
        <v>88</v>
      </c>
      <c r="C2" s="2"/>
      <c r="D2" s="2"/>
      <c r="E2" s="2"/>
    </row>
    <row r="3" customFormat="false" ht="18" hidden="false" customHeight="true" outlineLevel="0" collapsed="false">
      <c r="B3" s="19" t="s">
        <v>89</v>
      </c>
      <c r="C3" s="20" t="s">
        <v>90</v>
      </c>
      <c r="D3" s="20" t="s">
        <v>91</v>
      </c>
      <c r="E3" s="20" t="s">
        <v>92</v>
      </c>
    </row>
    <row r="4" customFormat="false" ht="15" hidden="false" customHeight="false" outlineLevel="0" collapsed="false">
      <c r="B4" s="11" t="s">
        <v>93</v>
      </c>
      <c r="C4" s="21" t="n">
        <f aca="false">Hypothèses!C9*Hypothèses!C12</f>
        <v>274560</v>
      </c>
      <c r="D4" s="21" t="n">
        <f aca="false">C4*(1+Hypothèses!C19)</f>
        <v>296524.8</v>
      </c>
      <c r="E4" s="21" t="n">
        <f aca="false">D4*(1+Hypothèses!C20)</f>
        <v>311351.04</v>
      </c>
    </row>
    <row r="5" customFormat="false" ht="15" hidden="false" customHeight="false" outlineLevel="0" collapsed="false">
      <c r="B5" s="11" t="s">
        <v>94</v>
      </c>
      <c r="C5" s="21" t="n">
        <f aca="false">Hypothèses!C9*Hypothèses!C13</f>
        <v>99840</v>
      </c>
      <c r="D5" s="21" t="n">
        <f aca="false">C5*(1+Hypothèses!C19)</f>
        <v>107827.2</v>
      </c>
      <c r="E5" s="21" t="n">
        <f aca="false">D5*(1+Hypothèses!C20)</f>
        <v>113218.56</v>
      </c>
    </row>
    <row r="6" customFormat="false" ht="15" hidden="false" customHeight="false" outlineLevel="0" collapsed="false">
      <c r="B6" s="11" t="s">
        <v>95</v>
      </c>
      <c r="C6" s="21" t="n">
        <f aca="false">Hypothèses!C15</f>
        <v>15000</v>
      </c>
      <c r="D6" s="21" t="n">
        <f aca="false">C6*(1+Hypothèses!C19)</f>
        <v>16200</v>
      </c>
      <c r="E6" s="21" t="n">
        <f aca="false">D6*(1+Hypothèses!C20)</f>
        <v>17010</v>
      </c>
    </row>
    <row r="7" customFormat="false" ht="15" hidden="false" customHeight="false" outlineLevel="0" collapsed="false">
      <c r="B7" s="11" t="s">
        <v>96</v>
      </c>
      <c r="C7" s="21" t="n">
        <f aca="false">Hypothèses!C16</f>
        <v>40000</v>
      </c>
      <c r="D7" s="21" t="n">
        <f aca="false">C7*(1+Hypothèses!C19)</f>
        <v>43200</v>
      </c>
      <c r="E7" s="21" t="n">
        <f aca="false">D7*(1+Hypothèses!C20)</f>
        <v>45360</v>
      </c>
    </row>
    <row r="8" customFormat="false" ht="15" hidden="false" customHeight="false" outlineLevel="0" collapsed="false">
      <c r="B8" s="16" t="s">
        <v>97</v>
      </c>
      <c r="C8" s="22" t="n">
        <f aca="false">SUM(C4:C7)</f>
        <v>429400</v>
      </c>
      <c r="D8" s="22" t="n">
        <f aca="false">SUM(D4:D7)</f>
        <v>463752</v>
      </c>
      <c r="E8" s="22" t="n">
        <f aca="false">SUM(E4:E7)</f>
        <v>486939.6</v>
      </c>
    </row>
    <row r="10" customFormat="false" ht="19.5" hidden="false" customHeight="true" outlineLevel="0" collapsed="false">
      <c r="B10" s="10" t="s">
        <v>98</v>
      </c>
      <c r="C10" s="10"/>
      <c r="D10" s="10"/>
      <c r="E10" s="10"/>
    </row>
    <row r="11" customFormat="false" ht="15" hidden="false" customHeight="false" outlineLevel="0" collapsed="false">
      <c r="B11" s="11" t="s">
        <v>99</v>
      </c>
      <c r="C11" s="21" t="n">
        <f aca="false">C4*Hypothèses!C23</f>
        <v>82368</v>
      </c>
      <c r="D11" s="21" t="n">
        <f aca="false">D4*Hypothèses!C23</f>
        <v>88957.44</v>
      </c>
      <c r="E11" s="21" t="n">
        <f aca="false">E4*Hypothèses!C23</f>
        <v>93405.312</v>
      </c>
    </row>
    <row r="12" customFormat="false" ht="15" hidden="false" customHeight="false" outlineLevel="0" collapsed="false">
      <c r="B12" s="11" t="s">
        <v>100</v>
      </c>
      <c r="C12" s="21" t="n">
        <f aca="false">C5*Hypothèses!C24</f>
        <v>24960</v>
      </c>
      <c r="D12" s="21" t="n">
        <f aca="false">D5*Hypothèses!C24</f>
        <v>26956.8</v>
      </c>
      <c r="E12" s="21" t="n">
        <f aca="false">E5*Hypothèses!C24</f>
        <v>28304.64</v>
      </c>
    </row>
    <row r="13" customFormat="false" ht="15" hidden="false" customHeight="false" outlineLevel="0" collapsed="false">
      <c r="B13" s="11" t="s">
        <v>101</v>
      </c>
      <c r="C13" s="21" t="n">
        <f aca="false">C6*Hypothèses!C25</f>
        <v>4800</v>
      </c>
      <c r="D13" s="21" t="n">
        <f aca="false">D6*Hypothèses!C25</f>
        <v>5184</v>
      </c>
      <c r="E13" s="21" t="n">
        <f aca="false">E6*Hypothèses!C25</f>
        <v>5443.2</v>
      </c>
    </row>
    <row r="14" customFormat="false" ht="15" hidden="false" customHeight="false" outlineLevel="0" collapsed="false">
      <c r="B14" s="11" t="s">
        <v>102</v>
      </c>
      <c r="C14" s="21" t="n">
        <f aca="false">C7*Hypothèses!C26</f>
        <v>13200</v>
      </c>
      <c r="D14" s="21" t="n">
        <f aca="false">D7*Hypothèses!C26</f>
        <v>14256</v>
      </c>
      <c r="E14" s="21" t="n">
        <f aca="false">E7*Hypothèses!C26</f>
        <v>14968.8</v>
      </c>
    </row>
    <row r="15" customFormat="false" ht="15" hidden="false" customHeight="false" outlineLevel="0" collapsed="false">
      <c r="B15" s="16" t="s">
        <v>103</v>
      </c>
      <c r="C15" s="22" t="n">
        <f aca="false">SUM(C11:C14)</f>
        <v>125328</v>
      </c>
      <c r="D15" s="22" t="n">
        <f aca="false">SUM(D11:D14)</f>
        <v>135354.24</v>
      </c>
      <c r="E15" s="22" t="n">
        <f aca="false">SUM(E11:E14)</f>
        <v>142121.952</v>
      </c>
    </row>
    <row r="16" customFormat="false" ht="15" hidden="false" customHeight="false" outlineLevel="0" collapsed="false">
      <c r="B16" s="16" t="s">
        <v>104</v>
      </c>
      <c r="C16" s="23" t="n">
        <f aca="false">C8-C15</f>
        <v>304072</v>
      </c>
      <c r="D16" s="23" t="n">
        <f aca="false">D8-D15</f>
        <v>328397.76</v>
      </c>
      <c r="E16" s="23" t="n">
        <f aca="false">E8-E15</f>
        <v>344817.648</v>
      </c>
    </row>
    <row r="17" customFormat="false" ht="15" hidden="false" customHeight="false" outlineLevel="0" collapsed="false">
      <c r="B17" s="11" t="s">
        <v>105</v>
      </c>
      <c r="C17" s="24" t="n">
        <f aca="false">IFERROR(C16/C8,0)</f>
        <v>0.708132277596646</v>
      </c>
      <c r="D17" s="24" t="n">
        <f aca="false">IFERROR(D16/D8,0)</f>
        <v>0.708132277596646</v>
      </c>
      <c r="E17" s="24" t="n">
        <f aca="false">IFERROR(E16/E8,0)</f>
        <v>0.708132277596647</v>
      </c>
    </row>
    <row r="18" customFormat="false" ht="15" hidden="false" customHeight="false" outlineLevel="0" collapsed="false">
      <c r="B18" s="11" t="s">
        <v>106</v>
      </c>
      <c r="C18" s="24" t="n">
        <f aca="false">IFERROR(C15/C8,0)</f>
        <v>0.291867722403354</v>
      </c>
      <c r="D18" s="24" t="n">
        <f aca="false">IFERROR(D15/D8,0)</f>
        <v>0.291867722403354</v>
      </c>
      <c r="E18" s="24" t="n">
        <f aca="false">IFERROR(E15/E8,0)</f>
        <v>0.291867722403354</v>
      </c>
    </row>
    <row r="20" customFormat="false" ht="19.5" hidden="false" customHeight="true" outlineLevel="0" collapsed="false">
      <c r="B20" s="10" t="s">
        <v>107</v>
      </c>
      <c r="C20" s="10"/>
      <c r="D20" s="10"/>
      <c r="E20" s="10"/>
    </row>
    <row r="21" customFormat="false" ht="15" hidden="false" customHeight="false" outlineLevel="0" collapsed="false">
      <c r="B21" s="11" t="s">
        <v>108</v>
      </c>
      <c r="C21" s="21" t="n">
        <f aca="false">Hypothèses!C29</f>
        <v>160000</v>
      </c>
      <c r="D21" s="21" t="n">
        <f aca="false">C21*(1+Hypothèses!C30)</f>
        <v>166400</v>
      </c>
      <c r="E21" s="21" t="n">
        <f aca="false">D21*(1+Hypothèses!C30)</f>
        <v>173056</v>
      </c>
    </row>
    <row r="22" customFormat="false" ht="15" hidden="false" customHeight="false" outlineLevel="0" collapsed="false">
      <c r="B22" s="11" t="s">
        <v>109</v>
      </c>
      <c r="C22" s="24" t="n">
        <f aca="false">IFERROR(C21/C8,0)</f>
        <v>0.372612948299953</v>
      </c>
      <c r="D22" s="24" t="n">
        <f aca="false">IFERROR(D21/D8,0)</f>
        <v>0.358812468733288</v>
      </c>
      <c r="E22" s="24" t="n">
        <f aca="false">IFERROR(E21/E8,0)</f>
        <v>0.355395207126305</v>
      </c>
    </row>
    <row r="23" customFormat="false" ht="15" hidden="false" customHeight="false" outlineLevel="0" collapsed="false">
      <c r="B23" s="16" t="s">
        <v>110</v>
      </c>
      <c r="C23" s="23" t="n">
        <f aca="false">C15+C21</f>
        <v>285328</v>
      </c>
      <c r="D23" s="23" t="n">
        <f aca="false">D15+D21</f>
        <v>301754.24</v>
      </c>
      <c r="E23" s="23" t="n">
        <f aca="false">E15+E21</f>
        <v>315177.952</v>
      </c>
    </row>
    <row r="24" customFormat="false" ht="15" hidden="false" customHeight="false" outlineLevel="0" collapsed="false">
      <c r="B24" s="16" t="s">
        <v>111</v>
      </c>
      <c r="C24" s="25" t="n">
        <f aca="false">IFERROR(C23/C8,0)</f>
        <v>0.664480670703307</v>
      </c>
      <c r="D24" s="25" t="n">
        <f aca="false">IFERROR(D23/D8,0)</f>
        <v>0.650680191136642</v>
      </c>
      <c r="E24" s="25" t="n">
        <f aca="false">IFERROR(E23/E8,0)</f>
        <v>0.647262929529658</v>
      </c>
    </row>
    <row r="26" customFormat="false" ht="19.5" hidden="false" customHeight="true" outlineLevel="0" collapsed="false">
      <c r="B26" s="10" t="s">
        <v>112</v>
      </c>
      <c r="C26" s="10"/>
      <c r="D26" s="10"/>
      <c r="E26" s="10"/>
    </row>
    <row r="27" customFormat="false" ht="15" hidden="false" customHeight="false" outlineLevel="0" collapsed="false">
      <c r="B27" s="11" t="s">
        <v>113</v>
      </c>
      <c r="C27" s="21" t="n">
        <f aca="false">C4+C5*(1-Hypothèses!C14)+C7</f>
        <v>344512</v>
      </c>
    </row>
    <row r="28" customFormat="false" ht="15" hidden="false" customHeight="false" outlineLevel="0" collapsed="false">
      <c r="B28" s="11" t="s">
        <v>114</v>
      </c>
      <c r="C28" s="21" t="n">
        <f aca="false">C6</f>
        <v>15000</v>
      </c>
    </row>
    <row r="29" customFormat="false" ht="15" hidden="false" customHeight="false" outlineLevel="0" collapsed="false">
      <c r="B29" s="11" t="s">
        <v>115</v>
      </c>
      <c r="C29" s="21" t="n">
        <f aca="false">C5*Hypothèses!C14</f>
        <v>69888</v>
      </c>
    </row>
    <row r="30" customFormat="false" ht="15" hidden="false" customHeight="false" outlineLevel="0" collapsed="false">
      <c r="B30" s="16" t="s">
        <v>116</v>
      </c>
      <c r="C30" s="26" t="n">
        <f aca="false">0.1*C27+0.055*C28+0.2*C29</f>
        <v>49253.8</v>
      </c>
    </row>
    <row r="31" customFormat="false" ht="15" hidden="false" customHeight="false" outlineLevel="0" collapsed="false">
      <c r="B31" s="11" t="s">
        <v>117</v>
      </c>
      <c r="C31" s="21" t="n">
        <f aca="false">C8+C30</f>
        <v>478653.8</v>
      </c>
    </row>
  </sheetData>
  <mergeCells count="5">
    <mergeCell ref="B1:E1"/>
    <mergeCell ref="B2:E2"/>
    <mergeCell ref="B10:E10"/>
    <mergeCell ref="B20:E20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118</v>
      </c>
      <c r="C1" s="1"/>
      <c r="D1" s="1"/>
      <c r="E1" s="1"/>
    </row>
    <row r="2" customFormat="false" ht="18" hidden="false" customHeight="true" outlineLevel="0" collapsed="false">
      <c r="B2" s="2" t="s">
        <v>119</v>
      </c>
      <c r="C2" s="2"/>
      <c r="D2" s="2"/>
      <c r="E2" s="2"/>
    </row>
    <row r="3" customFormat="false" ht="18" hidden="false" customHeight="true" outlineLevel="0" collapsed="false">
      <c r="B3" s="19" t="s">
        <v>120</v>
      </c>
      <c r="C3" s="20" t="s">
        <v>90</v>
      </c>
      <c r="D3" s="20" t="s">
        <v>91</v>
      </c>
      <c r="E3" s="20" t="s">
        <v>92</v>
      </c>
    </row>
    <row r="4" customFormat="false" ht="15" hidden="false" customHeight="false" outlineLevel="0" collapsed="false">
      <c r="B4" s="16" t="s">
        <v>121</v>
      </c>
      <c r="C4" s="27" t="n">
        <f aca="false">'CA &amp; Marges'!C8</f>
        <v>429400</v>
      </c>
      <c r="D4" s="27" t="n">
        <f aca="false">'CA &amp; Marges'!D8</f>
        <v>463752</v>
      </c>
      <c r="E4" s="27" t="n">
        <f aca="false">'CA &amp; Marges'!E8</f>
        <v>486939.6</v>
      </c>
    </row>
    <row r="5" customFormat="false" ht="15" hidden="false" customHeight="false" outlineLevel="0" collapsed="false">
      <c r="B5" s="11" t="s">
        <v>122</v>
      </c>
      <c r="C5" s="27" t="n">
        <f aca="false">'CA &amp; Marges'!C15</f>
        <v>125328</v>
      </c>
      <c r="D5" s="27" t="n">
        <f aca="false">'CA &amp; Marges'!D15</f>
        <v>135354.24</v>
      </c>
      <c r="E5" s="27" t="n">
        <f aca="false">'CA &amp; Marges'!E15</f>
        <v>142121.952</v>
      </c>
    </row>
    <row r="6" customFormat="false" ht="15" hidden="false" customHeight="false" outlineLevel="0" collapsed="false">
      <c r="B6" s="16" t="s">
        <v>104</v>
      </c>
      <c r="C6" s="23" t="n">
        <f aca="false">C4-C5</f>
        <v>304072</v>
      </c>
      <c r="D6" s="23" t="n">
        <f aca="false">D4-D5</f>
        <v>328397.76</v>
      </c>
      <c r="E6" s="23" t="n">
        <f aca="false">E4-E5</f>
        <v>344817.648</v>
      </c>
    </row>
    <row r="7" customFormat="false" ht="15" hidden="false" customHeight="false" outlineLevel="0" collapsed="false">
      <c r="B7" s="11" t="s">
        <v>108</v>
      </c>
      <c r="C7" s="27" t="n">
        <f aca="false">'CA &amp; Marges'!C21</f>
        <v>160000</v>
      </c>
      <c r="D7" s="27" t="n">
        <f aca="false">'CA &amp; Marges'!D21</f>
        <v>166400</v>
      </c>
      <c r="E7" s="27" t="n">
        <f aca="false">'CA &amp; Marges'!E21</f>
        <v>173056</v>
      </c>
    </row>
    <row r="8" customFormat="false" ht="15" hidden="false" customHeight="false" outlineLevel="0" collapsed="false">
      <c r="B8" s="11" t="s">
        <v>123</v>
      </c>
      <c r="C8" s="21" t="n">
        <f aca="false">Hypothèses!C34</f>
        <v>36000</v>
      </c>
      <c r="D8" s="21" t="n">
        <f aca="false">C8*(1+Hypothèses!C43)</f>
        <v>37080</v>
      </c>
      <c r="E8" s="21" t="n">
        <f aca="false">D8*(1+Hypothèses!C43)</f>
        <v>38192.4</v>
      </c>
    </row>
    <row r="9" customFormat="false" ht="15" hidden="false" customHeight="false" outlineLevel="0" collapsed="false">
      <c r="B9" s="11" t="s">
        <v>124</v>
      </c>
      <c r="C9" s="21" t="n">
        <f aca="false">Hypothèses!C35</f>
        <v>15000</v>
      </c>
      <c r="D9" s="21" t="n">
        <f aca="false">C9*(1+Hypothèses!C43)</f>
        <v>15450</v>
      </c>
      <c r="E9" s="21" t="n">
        <f aca="false">D9*(1+Hypothèses!C43)</f>
        <v>15913.5</v>
      </c>
    </row>
    <row r="10" customFormat="false" ht="15" hidden="false" customHeight="false" outlineLevel="0" collapsed="false">
      <c r="B10" s="11" t="s">
        <v>59</v>
      </c>
      <c r="C10" s="21" t="n">
        <f aca="false">Hypothèses!C36</f>
        <v>7000</v>
      </c>
      <c r="D10" s="21" t="n">
        <f aca="false">C10*(1+Hypothèses!C43)</f>
        <v>7210</v>
      </c>
      <c r="E10" s="21" t="n">
        <f aca="false">D10*(1+Hypothèses!C43)</f>
        <v>7426.3</v>
      </c>
    </row>
    <row r="11" customFormat="false" ht="15" hidden="false" customHeight="false" outlineLevel="0" collapsed="false">
      <c r="B11" s="11" t="s">
        <v>125</v>
      </c>
      <c r="C11" s="21" t="n">
        <f aca="false">'CA &amp; Marges'!C7*Hypothèses!C37</f>
        <v>11200</v>
      </c>
      <c r="D11" s="21" t="n">
        <f aca="false">'CA &amp; Marges'!D7*Hypothèses!C37</f>
        <v>12096</v>
      </c>
      <c r="E11" s="21" t="n">
        <f aca="false">'CA &amp; Marges'!E7*Hypothèses!C37</f>
        <v>12700.8</v>
      </c>
    </row>
    <row r="12" customFormat="false" ht="15" hidden="false" customHeight="false" outlineLevel="0" collapsed="false">
      <c r="B12" s="11" t="s">
        <v>61</v>
      </c>
      <c r="C12" s="21" t="n">
        <f aca="false">Hypothèses!C38</f>
        <v>4500</v>
      </c>
      <c r="D12" s="21" t="n">
        <f aca="false">C12*(1+Hypothèses!C43)</f>
        <v>4635</v>
      </c>
      <c r="E12" s="21" t="n">
        <f aca="false">D12*(1+Hypothèses!C43)</f>
        <v>4774.05</v>
      </c>
    </row>
    <row r="13" customFormat="false" ht="15" hidden="false" customHeight="false" outlineLevel="0" collapsed="false">
      <c r="B13" s="11" t="s">
        <v>126</v>
      </c>
      <c r="C13" s="21" t="n">
        <f aca="false">Hypothèses!C39</f>
        <v>6000</v>
      </c>
      <c r="D13" s="21" t="n">
        <f aca="false">C13*(1+Hypothèses!C43)</f>
        <v>6180</v>
      </c>
      <c r="E13" s="21" t="n">
        <f aca="false">D13*(1+Hypothèses!C43)</f>
        <v>6365.4</v>
      </c>
    </row>
    <row r="14" customFormat="false" ht="15" hidden="false" customHeight="false" outlineLevel="0" collapsed="false">
      <c r="B14" s="11" t="s">
        <v>63</v>
      </c>
      <c r="C14" s="21" t="n">
        <f aca="false">Hypothèses!C40</f>
        <v>5000</v>
      </c>
      <c r="D14" s="21" t="n">
        <f aca="false">C14*(1+Hypothèses!C43)</f>
        <v>5150</v>
      </c>
      <c r="E14" s="21" t="n">
        <f aca="false">D14*(1+Hypothèses!C43)</f>
        <v>5304.5</v>
      </c>
    </row>
    <row r="15" customFormat="false" ht="15" hidden="false" customHeight="false" outlineLevel="0" collapsed="false">
      <c r="B15" s="11" t="s">
        <v>64</v>
      </c>
      <c r="C15" s="21" t="n">
        <f aca="false">Hypothèses!C41</f>
        <v>5000</v>
      </c>
      <c r="D15" s="21" t="n">
        <f aca="false">C15*(1+Hypothèses!C43)</f>
        <v>5150</v>
      </c>
      <c r="E15" s="21" t="n">
        <f aca="false">D15*(1+Hypothèses!C43)</f>
        <v>5304.5</v>
      </c>
    </row>
    <row r="16" customFormat="false" ht="15" hidden="false" customHeight="false" outlineLevel="0" collapsed="false">
      <c r="B16" s="11" t="s">
        <v>65</v>
      </c>
      <c r="C16" s="21" t="n">
        <f aca="false">Hypothèses!C42</f>
        <v>4000</v>
      </c>
      <c r="D16" s="21" t="n">
        <f aca="false">C16*(1+Hypothèses!C43)</f>
        <v>4120</v>
      </c>
      <c r="E16" s="21" t="n">
        <f aca="false">D16*(1+Hypothèses!C43)</f>
        <v>4243.6</v>
      </c>
    </row>
    <row r="17" customFormat="false" ht="15" hidden="false" customHeight="false" outlineLevel="0" collapsed="false">
      <c r="B17" s="16" t="s">
        <v>127</v>
      </c>
      <c r="C17" s="28" t="n">
        <f aca="false">SUM(C8:C16)</f>
        <v>93700</v>
      </c>
      <c r="D17" s="28" t="n">
        <f aca="false">SUM(D8:D16)</f>
        <v>97071</v>
      </c>
      <c r="E17" s="28" t="n">
        <f aca="false">SUM(E8:E16)</f>
        <v>100225.05</v>
      </c>
    </row>
    <row r="18" customFormat="false" ht="15" hidden="false" customHeight="false" outlineLevel="0" collapsed="false">
      <c r="B18" s="11" t="s">
        <v>128</v>
      </c>
      <c r="C18" s="21" t="n">
        <f aca="false">Hypothèses!C46</f>
        <v>4000</v>
      </c>
      <c r="D18" s="21" t="n">
        <f aca="false">C18*(1+Hypothèses!C43)</f>
        <v>4120</v>
      </c>
      <c r="E18" s="21" t="n">
        <f aca="false">D18*(1+Hypothèses!C43)</f>
        <v>4243.6</v>
      </c>
    </row>
    <row r="19" customFormat="false" ht="15" hidden="false" customHeight="false" outlineLevel="0" collapsed="false">
      <c r="B19" s="16" t="s">
        <v>129</v>
      </c>
      <c r="C19" s="22" t="n">
        <f aca="false">C6-C7-C17-C18</f>
        <v>46372</v>
      </c>
      <c r="D19" s="22" t="n">
        <f aca="false">D6-D7-D17-D18</f>
        <v>60806.76</v>
      </c>
      <c r="E19" s="22" t="n">
        <f aca="false">E6-E7-E17-E18</f>
        <v>67292.998</v>
      </c>
    </row>
    <row r="20" customFormat="false" ht="15" hidden="false" customHeight="false" outlineLevel="0" collapsed="false">
      <c r="B20" s="11" t="s">
        <v>130</v>
      </c>
      <c r="C20" s="24" t="n">
        <f aca="false">IFERROR(C19/C4,0)</f>
        <v>0.107992547741034</v>
      </c>
      <c r="D20" s="24" t="n">
        <f aca="false">IFERROR(D19/D4,0)</f>
        <v>0.131119132639859</v>
      </c>
      <c r="E20" s="24" t="n">
        <f aca="false">IFERROR(E19/E4,0)</f>
        <v>0.138195780339081</v>
      </c>
    </row>
    <row r="21" customFormat="false" ht="15" hidden="false" customHeight="false" outlineLevel="0" collapsed="false">
      <c r="B21" s="11" t="s">
        <v>131</v>
      </c>
      <c r="C21" s="21" t="n">
        <f aca="false">IFERROR((Hypothèses!C53+Hypothèses!C54)/Hypothèses!C49,0)</f>
        <v>15714.2857142857</v>
      </c>
      <c r="D21" s="21" t="n">
        <f aca="false">IFERROR((Hypothèses!C53+Hypothèses!C54)/Hypothèses!C49,0)</f>
        <v>15714.2857142857</v>
      </c>
      <c r="E21" s="21" t="n">
        <f aca="false">IFERROR((Hypothèses!C53+Hypothèses!C54)/Hypothèses!C49,0)</f>
        <v>15714.2857142857</v>
      </c>
    </row>
    <row r="22" customFormat="false" ht="15" hidden="false" customHeight="false" outlineLevel="0" collapsed="false">
      <c r="B22" s="16" t="s">
        <v>132</v>
      </c>
      <c r="C22" s="23" t="n">
        <f aca="false">C19-C21</f>
        <v>30657.7142857143</v>
      </c>
      <c r="D22" s="23" t="n">
        <f aca="false">D19-D21</f>
        <v>45092.4742857143</v>
      </c>
      <c r="E22" s="23" t="n">
        <f aca="false">E19-E21</f>
        <v>51578.7122857143</v>
      </c>
    </row>
    <row r="23" customFormat="false" ht="15" hidden="false" customHeight="false" outlineLevel="0" collapsed="false">
      <c r="B23" s="11" t="s">
        <v>133</v>
      </c>
      <c r="C23" s="27" t="n">
        <f aca="false">'Plan de financement'!D27</f>
        <v>9900</v>
      </c>
      <c r="D23" s="27" t="n">
        <f aca="false">'Plan de financement'!D28</f>
        <v>8665.45546691616</v>
      </c>
      <c r="E23" s="27" t="n">
        <f aca="false">'Plan de financement'!D29</f>
        <v>7375.35642984355</v>
      </c>
    </row>
    <row r="24" customFormat="false" ht="15" hidden="false" customHeight="false" outlineLevel="0" collapsed="false">
      <c r="B24" s="16" t="s">
        <v>134</v>
      </c>
      <c r="C24" s="23" t="n">
        <f aca="false">C22-C23</f>
        <v>20757.7142857143</v>
      </c>
      <c r="D24" s="23" t="n">
        <f aca="false">D22-D23</f>
        <v>36427.0188187981</v>
      </c>
      <c r="E24" s="23" t="n">
        <f aca="false">E22-E23</f>
        <v>44203.3558558708</v>
      </c>
    </row>
    <row r="25" customFormat="false" ht="15" hidden="false" customHeight="false" outlineLevel="0" collapsed="false">
      <c r="B25" s="11" t="s">
        <v>135</v>
      </c>
      <c r="C25" s="21" t="n">
        <f aca="false">IF(C24&lt;=0,0,0.15*MIN(C24,42500)+0.25*MAX(C24-42500,0))</f>
        <v>3113.65714285714</v>
      </c>
      <c r="D25" s="21" t="n">
        <f aca="false">IF(D24&lt;=0,0,0.15*MIN(D24,42500)+0.25*MAX(D24-42500,0))</f>
        <v>5464.05282281972</v>
      </c>
      <c r="E25" s="21" t="n">
        <f aca="false">IF(E24&lt;=0,0,0.15*MIN(E24,42500)+0.25*MAX(E24-42500,0))</f>
        <v>6800.8389639677</v>
      </c>
    </row>
    <row r="26" customFormat="false" ht="15" hidden="false" customHeight="false" outlineLevel="0" collapsed="false">
      <c r="B26" s="16" t="s">
        <v>136</v>
      </c>
      <c r="C26" s="22" t="n">
        <f aca="false">C24-C25</f>
        <v>17644.0571428571</v>
      </c>
      <c r="D26" s="22" t="n">
        <f aca="false">D24-D25</f>
        <v>30962.9659959784</v>
      </c>
      <c r="E26" s="22" t="n">
        <f aca="false">E24-E25</f>
        <v>37402.5168919031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G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4" min="4" style="0" width="15"/>
    <col collapsed="false" customWidth="true" hidden="false" outlineLevel="0" max="5" min="5" style="0" width="16"/>
    <col collapsed="false" customWidth="true" hidden="false" outlineLevel="0" max="6" min="6" style="0" width="15"/>
    <col collapsed="false" customWidth="true" hidden="false" outlineLevel="0" max="7" min="7" style="0" width="16"/>
  </cols>
  <sheetData>
    <row r="1" customFormat="false" ht="33.75" hidden="false" customHeight="true" outlineLevel="0" collapsed="false">
      <c r="B1" s="1" t="s">
        <v>137</v>
      </c>
      <c r="C1" s="1"/>
      <c r="D1" s="1"/>
      <c r="E1" s="1"/>
      <c r="F1" s="1"/>
      <c r="G1" s="1"/>
    </row>
    <row r="2" customFormat="false" ht="18" hidden="false" customHeight="true" outlineLevel="0" collapsed="false">
      <c r="B2" s="2" t="s">
        <v>138</v>
      </c>
      <c r="C2" s="2"/>
      <c r="D2" s="2"/>
      <c r="E2" s="2"/>
      <c r="F2" s="2"/>
      <c r="G2" s="2"/>
    </row>
    <row r="3" customFormat="false" ht="19.5" hidden="false" customHeight="true" outlineLevel="0" collapsed="false">
      <c r="B3" s="29" t="s">
        <v>139</v>
      </c>
      <c r="C3" s="20" t="s">
        <v>140</v>
      </c>
    </row>
    <row r="4" customFormat="false" ht="15" hidden="false" customHeight="false" outlineLevel="0" collapsed="false">
      <c r="B4" s="11" t="s">
        <v>73</v>
      </c>
      <c r="C4" s="21" t="n">
        <f aca="false">Hypothèses!C52</f>
        <v>120000</v>
      </c>
    </row>
    <row r="5" customFormat="false" ht="15" hidden="false" customHeight="false" outlineLevel="0" collapsed="false">
      <c r="B5" s="11" t="s">
        <v>75</v>
      </c>
      <c r="C5" s="21" t="n">
        <f aca="false">Hypothèses!C53</f>
        <v>60000</v>
      </c>
    </row>
    <row r="6" customFormat="false" ht="15" hidden="false" customHeight="false" outlineLevel="0" collapsed="false">
      <c r="B6" s="11" t="s">
        <v>76</v>
      </c>
      <c r="C6" s="21" t="n">
        <f aca="false">Hypothèses!C54</f>
        <v>50000</v>
      </c>
    </row>
    <row r="7" customFormat="false" ht="15" hidden="false" customHeight="false" outlineLevel="0" collapsed="false">
      <c r="B7" s="11" t="s">
        <v>77</v>
      </c>
      <c r="C7" s="21" t="n">
        <f aca="false">Hypothèses!C55</f>
        <v>8000</v>
      </c>
    </row>
    <row r="8" customFormat="false" ht="15" hidden="false" customHeight="false" outlineLevel="0" collapsed="false">
      <c r="B8" s="11" t="s">
        <v>78</v>
      </c>
      <c r="C8" s="21" t="n">
        <f aca="false">Hypothèses!C56</f>
        <v>4000</v>
      </c>
    </row>
    <row r="9" customFormat="false" ht="15" hidden="false" customHeight="false" outlineLevel="0" collapsed="false">
      <c r="B9" s="11" t="s">
        <v>79</v>
      </c>
      <c r="C9" s="21" t="n">
        <f aca="false">Hypothèses!C57</f>
        <v>12000</v>
      </c>
    </row>
    <row r="10" customFormat="false" ht="15" hidden="false" customHeight="false" outlineLevel="0" collapsed="false">
      <c r="B10" s="11" t="s">
        <v>141</v>
      </c>
      <c r="C10" s="21" t="n">
        <f aca="false">Hypothèses!C58</f>
        <v>10500</v>
      </c>
    </row>
    <row r="11" customFormat="false" ht="15" hidden="false" customHeight="false" outlineLevel="0" collapsed="false">
      <c r="B11" s="11" t="s">
        <v>142</v>
      </c>
      <c r="C11" s="21" t="n">
        <f aca="false">Hypothèses!C59</f>
        <v>30000</v>
      </c>
    </row>
    <row r="12" customFormat="false" ht="15" hidden="false" customHeight="false" outlineLevel="0" collapsed="false">
      <c r="B12" s="16" t="s">
        <v>143</v>
      </c>
      <c r="C12" s="22" t="n">
        <f aca="false">SUM(C4:C11)</f>
        <v>294500</v>
      </c>
    </row>
    <row r="14" customFormat="false" ht="19.5" hidden="false" customHeight="true" outlineLevel="0" collapsed="false">
      <c r="B14" s="29" t="s">
        <v>144</v>
      </c>
      <c r="C14" s="30"/>
    </row>
    <row r="15" customFormat="false" ht="15" hidden="false" customHeight="false" outlineLevel="0" collapsed="false">
      <c r="B15" s="11" t="s">
        <v>83</v>
      </c>
      <c r="C15" s="21" t="n">
        <f aca="false">Hypothèses!C62</f>
        <v>90000</v>
      </c>
    </row>
    <row r="16" customFormat="false" ht="15" hidden="false" customHeight="false" outlineLevel="0" collapsed="false">
      <c r="B16" s="11" t="s">
        <v>145</v>
      </c>
      <c r="C16" s="21" t="n">
        <f aca="false">Hypothèses!C63</f>
        <v>220000</v>
      </c>
    </row>
    <row r="17" customFormat="false" ht="15" hidden="false" customHeight="false" outlineLevel="0" collapsed="false">
      <c r="B17" s="16" t="s">
        <v>146</v>
      </c>
      <c r="C17" s="22" t="n">
        <f aca="false">SUM(C15:C16)</f>
        <v>310000</v>
      </c>
    </row>
    <row r="18" customFormat="false" ht="15" hidden="false" customHeight="false" outlineLevel="0" collapsed="false">
      <c r="B18" s="16" t="s">
        <v>147</v>
      </c>
      <c r="C18" s="23" t="n">
        <f aca="false">C17-C12</f>
        <v>15500</v>
      </c>
    </row>
    <row r="20" customFormat="false" ht="19.5" hidden="false" customHeight="true" outlineLevel="0" collapsed="false">
      <c r="B20" s="10" t="s">
        <v>148</v>
      </c>
      <c r="C20" s="10"/>
      <c r="D20" s="10"/>
      <c r="E20" s="10"/>
      <c r="F20" s="10"/>
      <c r="G20" s="10"/>
    </row>
    <row r="21" customFormat="false" ht="15" hidden="false" customHeight="false" outlineLevel="0" collapsed="false">
      <c r="B21" s="11" t="s">
        <v>149</v>
      </c>
      <c r="C21" s="21" t="n">
        <f aca="false">Hypothèses!C63</f>
        <v>220000</v>
      </c>
    </row>
    <row r="22" customFormat="false" ht="15" hidden="false" customHeight="false" outlineLevel="0" collapsed="false">
      <c r="B22" s="11" t="s">
        <v>85</v>
      </c>
      <c r="C22" s="24" t="n">
        <f aca="false">Hypothèses!C64</f>
        <v>0.045</v>
      </c>
    </row>
    <row r="23" customFormat="false" ht="15" hidden="false" customHeight="false" outlineLevel="0" collapsed="false">
      <c r="B23" s="11" t="s">
        <v>150</v>
      </c>
      <c r="C23" s="31" t="n">
        <f aca="false">Hypothèses!C65</f>
        <v>7</v>
      </c>
    </row>
    <row r="24" customFormat="false" ht="15" hidden="false" customHeight="false" outlineLevel="0" collapsed="false">
      <c r="B24" s="16" t="s">
        <v>151</v>
      </c>
      <c r="C24" s="26" t="n">
        <f aca="false">IF(C23=0,0,IF(C22=0,C21/C23,C21*C22/(1-(1+C22)^(-C23))))</f>
        <v>37334.3229574187</v>
      </c>
    </row>
    <row r="26" customFormat="false" ht="27.75" hidden="false" customHeight="true" outlineLevel="0" collapsed="false">
      <c r="B26" s="20" t="s">
        <v>152</v>
      </c>
      <c r="C26" s="20" t="s">
        <v>153</v>
      </c>
      <c r="D26" s="20" t="s">
        <v>154</v>
      </c>
      <c r="E26" s="20" t="s">
        <v>155</v>
      </c>
      <c r="F26" s="20" t="s">
        <v>156</v>
      </c>
      <c r="G26" s="20" t="s">
        <v>157</v>
      </c>
    </row>
    <row r="27" customFormat="false" ht="15" hidden="false" customHeight="false" outlineLevel="0" collapsed="false">
      <c r="B27" s="32" t="n">
        <v>1</v>
      </c>
      <c r="C27" s="21" t="n">
        <f aca="false">C21</f>
        <v>220000</v>
      </c>
      <c r="D27" s="21" t="n">
        <f aca="false">IF(B27&lt;=$C$23,C27*$C$22,0)</f>
        <v>9900</v>
      </c>
      <c r="E27" s="21" t="n">
        <f aca="false">IF(B27&lt;=$C$23,$C$24-D27,0)</f>
        <v>27434.3229574187</v>
      </c>
      <c r="F27" s="21" t="n">
        <f aca="false">IF(B27&lt;=$C$23,$C$24,0)</f>
        <v>37334.3229574187</v>
      </c>
      <c r="G27" s="21" t="n">
        <f aca="false">C27-E27</f>
        <v>192565.677042581</v>
      </c>
    </row>
    <row r="28" customFormat="false" ht="15" hidden="false" customHeight="false" outlineLevel="0" collapsed="false">
      <c r="B28" s="32" t="n">
        <v>2</v>
      </c>
      <c r="C28" s="21" t="n">
        <f aca="false">G27</f>
        <v>192565.677042581</v>
      </c>
      <c r="D28" s="21" t="n">
        <f aca="false">IF(B28&lt;=$C$23,C28*$C$22,0)</f>
        <v>8665.45546691616</v>
      </c>
      <c r="E28" s="21" t="n">
        <f aca="false">IF(B28&lt;=$C$23,$C$24-D28,0)</f>
        <v>28668.8674905025</v>
      </c>
      <c r="F28" s="21" t="n">
        <f aca="false">IF(B28&lt;=$C$23,$C$24,0)</f>
        <v>37334.3229574187</v>
      </c>
      <c r="G28" s="21" t="n">
        <f aca="false">C28-E28</f>
        <v>163896.809552079</v>
      </c>
    </row>
    <row r="29" customFormat="false" ht="15" hidden="false" customHeight="false" outlineLevel="0" collapsed="false">
      <c r="B29" s="32" t="n">
        <v>3</v>
      </c>
      <c r="C29" s="21" t="n">
        <f aca="false">G28</f>
        <v>163896.809552079</v>
      </c>
      <c r="D29" s="21" t="n">
        <f aca="false">IF(B29&lt;=$C$23,C29*$C$22,0)</f>
        <v>7375.35642984355</v>
      </c>
      <c r="E29" s="21" t="n">
        <f aca="false">IF(B29&lt;=$C$23,$C$24-D29,0)</f>
        <v>29958.9665275751</v>
      </c>
      <c r="F29" s="21" t="n">
        <f aca="false">IF(B29&lt;=$C$23,$C$24,0)</f>
        <v>37334.3229574187</v>
      </c>
      <c r="G29" s="21" t="n">
        <f aca="false">C29-E29</f>
        <v>133937.843024504</v>
      </c>
    </row>
    <row r="30" customFormat="false" ht="15" hidden="false" customHeight="false" outlineLevel="0" collapsed="false">
      <c r="B30" s="32" t="n">
        <v>4</v>
      </c>
      <c r="C30" s="21" t="n">
        <f aca="false">G29</f>
        <v>133937.843024504</v>
      </c>
      <c r="D30" s="21" t="n">
        <f aca="false">IF(B30&lt;=$C$23,C30*$C$22,0)</f>
        <v>6027.20293610266</v>
      </c>
      <c r="E30" s="21" t="n">
        <f aca="false">IF(B30&lt;=$C$23,$C$24-D30,0)</f>
        <v>31307.120021316</v>
      </c>
      <c r="F30" s="21" t="n">
        <f aca="false">IF(B30&lt;=$C$23,$C$24,0)</f>
        <v>37334.3229574187</v>
      </c>
      <c r="G30" s="21" t="n">
        <f aca="false">C30-E30</f>
        <v>102630.723003188</v>
      </c>
    </row>
    <row r="31" customFormat="false" ht="15" hidden="false" customHeight="false" outlineLevel="0" collapsed="false">
      <c r="B31" s="32" t="n">
        <v>5</v>
      </c>
      <c r="C31" s="21" t="n">
        <f aca="false">G30</f>
        <v>102630.723003188</v>
      </c>
      <c r="D31" s="21" t="n">
        <f aca="false">IF(B31&lt;=$C$23,C31*$C$22,0)</f>
        <v>4618.38253514344</v>
      </c>
      <c r="E31" s="21" t="n">
        <f aca="false">IF(B31&lt;=$C$23,$C$24-D31,0)</f>
        <v>32715.9404222752</v>
      </c>
      <c r="F31" s="21" t="n">
        <f aca="false">IF(B31&lt;=$C$23,$C$24,0)</f>
        <v>37334.3229574187</v>
      </c>
      <c r="G31" s="21" t="n">
        <f aca="false">C31-E31</f>
        <v>69914.7825809124</v>
      </c>
    </row>
    <row r="32" customFormat="false" ht="15" hidden="false" customHeight="false" outlineLevel="0" collapsed="false">
      <c r="B32" s="32" t="n">
        <v>6</v>
      </c>
      <c r="C32" s="21" t="n">
        <f aca="false">G31</f>
        <v>69914.7825809124</v>
      </c>
      <c r="D32" s="21" t="n">
        <f aca="false">IF(B32&lt;=$C$23,C32*$C$22,0)</f>
        <v>3146.16521614106</v>
      </c>
      <c r="E32" s="21" t="n">
        <f aca="false">IF(B32&lt;=$C$23,$C$24-D32,0)</f>
        <v>34188.1577412776</v>
      </c>
      <c r="F32" s="21" t="n">
        <f aca="false">IF(B32&lt;=$C$23,$C$24,0)</f>
        <v>37334.3229574187</v>
      </c>
      <c r="G32" s="21" t="n">
        <f aca="false">C32-E32</f>
        <v>35726.6248396348</v>
      </c>
    </row>
    <row r="33" customFormat="false" ht="15" hidden="false" customHeight="false" outlineLevel="0" collapsed="false">
      <c r="B33" s="32" t="n">
        <v>7</v>
      </c>
      <c r="C33" s="21" t="n">
        <f aca="false">G32</f>
        <v>35726.6248396348</v>
      </c>
      <c r="D33" s="21" t="n">
        <f aca="false">IF(B33&lt;=$C$23,C33*$C$22,0)</f>
        <v>1607.69811778356</v>
      </c>
      <c r="E33" s="21" t="n">
        <f aca="false">IF(B33&lt;=$C$23,$C$24-D33,0)</f>
        <v>35726.6248396351</v>
      </c>
      <c r="F33" s="21" t="n">
        <f aca="false">IF(B33&lt;=$C$23,$C$24,0)</f>
        <v>37334.3229574187</v>
      </c>
      <c r="G33" s="21" t="n">
        <f aca="false">C33-E33</f>
        <v>-3.71073838323355E-010</v>
      </c>
    </row>
    <row r="34" customFormat="false" ht="15" hidden="false" customHeight="false" outlineLevel="0" collapsed="false">
      <c r="B34" s="32" t="n">
        <v>8</v>
      </c>
      <c r="C34" s="21" t="n">
        <f aca="false">G33</f>
        <v>-3.71073838323355E-010</v>
      </c>
      <c r="D34" s="21" t="n">
        <f aca="false">IF(B34&lt;=$C$23,C34*$C$22,0)</f>
        <v>0</v>
      </c>
      <c r="E34" s="21" t="n">
        <f aca="false">IF(B34&lt;=$C$23,$C$24-D34,0)</f>
        <v>0</v>
      </c>
      <c r="F34" s="21" t="n">
        <f aca="false">IF(B34&lt;=$C$23,$C$24,0)</f>
        <v>0</v>
      </c>
      <c r="G34" s="21" t="n">
        <f aca="false">C34-E34</f>
        <v>-3.71073838323355E-010</v>
      </c>
    </row>
    <row r="35" customFormat="false" ht="15" hidden="false" customHeight="false" outlineLevel="0" collapsed="false">
      <c r="B35" s="32" t="n">
        <v>9</v>
      </c>
      <c r="C35" s="21" t="n">
        <f aca="false">G34</f>
        <v>-3.71073838323355E-010</v>
      </c>
      <c r="D35" s="21" t="n">
        <f aca="false">IF(B35&lt;=$C$23,C35*$C$22,0)</f>
        <v>0</v>
      </c>
      <c r="E35" s="21" t="n">
        <f aca="false">IF(B35&lt;=$C$23,$C$24-D35,0)</f>
        <v>0</v>
      </c>
      <c r="F35" s="21" t="n">
        <f aca="false">IF(B35&lt;=$C$23,$C$24,0)</f>
        <v>0</v>
      </c>
      <c r="G35" s="21" t="n">
        <f aca="false">C35-E35</f>
        <v>-3.71073838323355E-010</v>
      </c>
    </row>
    <row r="36" customFormat="false" ht="15" hidden="false" customHeight="false" outlineLevel="0" collapsed="false">
      <c r="B36" s="32" t="n">
        <v>10</v>
      </c>
      <c r="C36" s="21" t="n">
        <f aca="false">G35</f>
        <v>-3.71073838323355E-010</v>
      </c>
      <c r="D36" s="21" t="n">
        <f aca="false">IF(B36&lt;=$C$23,C36*$C$22,0)</f>
        <v>0</v>
      </c>
      <c r="E36" s="21" t="n">
        <f aca="false">IF(B36&lt;=$C$23,$C$24-D36,0)</f>
        <v>0</v>
      </c>
      <c r="F36" s="21" t="n">
        <f aca="false">IF(B36&lt;=$C$23,$C$24,0)</f>
        <v>0</v>
      </c>
      <c r="G36" s="21" t="n">
        <f aca="false">C36-E36</f>
        <v>-3.71073838323355E-010</v>
      </c>
    </row>
  </sheetData>
  <mergeCells count="3">
    <mergeCell ref="B1:G1"/>
    <mergeCell ref="B2:G2"/>
    <mergeCell ref="B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O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4" min="3" style="0" width="10"/>
    <col collapsed="false" customWidth="true" hidden="false" outlineLevel="0" max="15" min="15" style="0" width="13"/>
  </cols>
  <sheetData>
    <row r="1" customFormat="false" ht="33.75" hidden="false" customHeight="true" outlineLevel="0" collapsed="false">
      <c r="B1" s="1" t="s">
        <v>158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B2" s="2" t="s">
        <v>159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B3" s="19" t="s">
        <v>160</v>
      </c>
      <c r="C3" s="20" t="s">
        <v>161</v>
      </c>
      <c r="D3" s="20" t="s">
        <v>162</v>
      </c>
      <c r="E3" s="20" t="s">
        <v>163</v>
      </c>
      <c r="F3" s="20" t="s">
        <v>164</v>
      </c>
      <c r="G3" s="20" t="s">
        <v>165</v>
      </c>
      <c r="H3" s="20" t="s">
        <v>166</v>
      </c>
      <c r="I3" s="20" t="s">
        <v>167</v>
      </c>
      <c r="J3" s="20" t="s">
        <v>168</v>
      </c>
      <c r="K3" s="20" t="s">
        <v>169</v>
      </c>
      <c r="L3" s="20" t="s">
        <v>170</v>
      </c>
      <c r="M3" s="20" t="s">
        <v>171</v>
      </c>
      <c r="N3" s="20" t="s">
        <v>172</v>
      </c>
      <c r="O3" s="20" t="s">
        <v>173</v>
      </c>
    </row>
    <row r="4" customFormat="false" ht="15" hidden="false" customHeight="false" outlineLevel="0" collapsed="false">
      <c r="B4" s="11" t="s">
        <v>174</v>
      </c>
      <c r="C4" s="15" t="n">
        <v>0.06</v>
      </c>
      <c r="D4" s="15" t="n">
        <v>0.06</v>
      </c>
      <c r="E4" s="15" t="n">
        <v>0.07</v>
      </c>
      <c r="F4" s="15" t="n">
        <v>0.08</v>
      </c>
      <c r="G4" s="15" t="n">
        <v>0.09</v>
      </c>
      <c r="H4" s="15" t="n">
        <v>0.1</v>
      </c>
      <c r="I4" s="15" t="n">
        <v>0.09</v>
      </c>
      <c r="J4" s="15" t="n">
        <v>0.06</v>
      </c>
      <c r="K4" s="15" t="n">
        <v>0.09</v>
      </c>
      <c r="L4" s="15" t="n">
        <v>0.09</v>
      </c>
      <c r="M4" s="15" t="n">
        <v>0.08</v>
      </c>
      <c r="N4" s="15" t="n">
        <v>0.13</v>
      </c>
      <c r="O4" s="25" t="n">
        <f aca="false">SUM(C4:N4)</f>
        <v>1</v>
      </c>
    </row>
    <row r="5" customFormat="false" ht="15" hidden="false" customHeight="false" outlineLevel="0" collapsed="false">
      <c r="B5" s="16" t="s">
        <v>175</v>
      </c>
      <c r="C5" s="23" t="n">
        <f aca="false">'CA &amp; Marges'!$C$8*C4</f>
        <v>25764</v>
      </c>
      <c r="D5" s="23" t="n">
        <f aca="false">'CA &amp; Marges'!$C$8*D4</f>
        <v>25764</v>
      </c>
      <c r="E5" s="23" t="n">
        <f aca="false">'CA &amp; Marges'!$C$8*E4</f>
        <v>30058</v>
      </c>
      <c r="F5" s="23" t="n">
        <f aca="false">'CA &amp; Marges'!$C$8*F4</f>
        <v>34352</v>
      </c>
      <c r="G5" s="23" t="n">
        <f aca="false">'CA &amp; Marges'!$C$8*G4</f>
        <v>38646</v>
      </c>
      <c r="H5" s="23" t="n">
        <f aca="false">'CA &amp; Marges'!$C$8*H4</f>
        <v>42940</v>
      </c>
      <c r="I5" s="23" t="n">
        <f aca="false">'CA &amp; Marges'!$C$8*I4</f>
        <v>38646</v>
      </c>
      <c r="J5" s="23" t="n">
        <f aca="false">'CA &amp; Marges'!$C$8*J4</f>
        <v>25764</v>
      </c>
      <c r="K5" s="23" t="n">
        <f aca="false">'CA &amp; Marges'!$C$8*K4</f>
        <v>38646</v>
      </c>
      <c r="L5" s="23" t="n">
        <f aca="false">'CA &amp; Marges'!$C$8*L4</f>
        <v>38646</v>
      </c>
      <c r="M5" s="23" t="n">
        <f aca="false">'CA &amp; Marges'!$C$8*M4</f>
        <v>34352</v>
      </c>
      <c r="N5" s="23" t="n">
        <f aca="false">'CA &amp; Marges'!$C$8*N4</f>
        <v>55822</v>
      </c>
      <c r="O5" s="23" t="n">
        <f aca="false">SUM(C5:N5)</f>
        <v>429400</v>
      </c>
    </row>
    <row r="6" customFormat="false" ht="19.5" hidden="false" customHeight="true" outlineLevel="0" collapsed="false">
      <c r="B6" s="10" t="s">
        <v>176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customFormat="false" ht="15" hidden="false" customHeight="false" outlineLevel="0" collapsed="false">
      <c r="B7" s="11" t="s">
        <v>177</v>
      </c>
      <c r="C7" s="21" t="n">
        <f aca="false">'CA &amp; Marges'!$C$15*C4</f>
        <v>7519.68</v>
      </c>
      <c r="D7" s="21" t="n">
        <f aca="false">'CA &amp; Marges'!$C$15*D4</f>
        <v>7519.68</v>
      </c>
      <c r="E7" s="21" t="n">
        <f aca="false">'CA &amp; Marges'!$C$15*E4</f>
        <v>8772.96</v>
      </c>
      <c r="F7" s="21" t="n">
        <f aca="false">'CA &amp; Marges'!$C$15*F4</f>
        <v>10026.24</v>
      </c>
      <c r="G7" s="21" t="n">
        <f aca="false">'CA &amp; Marges'!$C$15*G4</f>
        <v>11279.52</v>
      </c>
      <c r="H7" s="21" t="n">
        <f aca="false">'CA &amp; Marges'!$C$15*H4</f>
        <v>12532.8</v>
      </c>
      <c r="I7" s="21" t="n">
        <f aca="false">'CA &amp; Marges'!$C$15*I4</f>
        <v>11279.52</v>
      </c>
      <c r="J7" s="21" t="n">
        <f aca="false">'CA &amp; Marges'!$C$15*J4</f>
        <v>7519.68</v>
      </c>
      <c r="K7" s="21" t="n">
        <f aca="false">'CA &amp; Marges'!$C$15*K4</f>
        <v>11279.52</v>
      </c>
      <c r="L7" s="21" t="n">
        <f aca="false">'CA &amp; Marges'!$C$15*L4</f>
        <v>11279.52</v>
      </c>
      <c r="M7" s="21" t="n">
        <f aca="false">'CA &amp; Marges'!$C$15*M4</f>
        <v>10026.24</v>
      </c>
      <c r="N7" s="21" t="n">
        <f aca="false">'CA &amp; Marges'!$C$15*N4</f>
        <v>16292.64</v>
      </c>
      <c r="O7" s="21" t="n">
        <f aca="false">SUM(C7:N7)</f>
        <v>125328</v>
      </c>
    </row>
    <row r="8" customFormat="false" ht="15" hidden="false" customHeight="false" outlineLevel="0" collapsed="false">
      <c r="B8" s="11" t="s">
        <v>178</v>
      </c>
      <c r="C8" s="21" t="n">
        <f aca="false">'Compte de résultat'!$C$11*C4</f>
        <v>672</v>
      </c>
      <c r="D8" s="21" t="n">
        <f aca="false">'Compte de résultat'!$C$11*D4</f>
        <v>672</v>
      </c>
      <c r="E8" s="21" t="n">
        <f aca="false">'Compte de résultat'!$C$11*E4</f>
        <v>784</v>
      </c>
      <c r="F8" s="21" t="n">
        <f aca="false">'Compte de résultat'!$C$11*F4</f>
        <v>896</v>
      </c>
      <c r="G8" s="21" t="n">
        <f aca="false">'Compte de résultat'!$C$11*G4</f>
        <v>1008</v>
      </c>
      <c r="H8" s="21" t="n">
        <f aca="false">'Compte de résultat'!$C$11*H4</f>
        <v>1120</v>
      </c>
      <c r="I8" s="21" t="n">
        <f aca="false">'Compte de résultat'!$C$11*I4</f>
        <v>1008</v>
      </c>
      <c r="J8" s="21" t="n">
        <f aca="false">'Compte de résultat'!$C$11*J4</f>
        <v>672</v>
      </c>
      <c r="K8" s="21" t="n">
        <f aca="false">'Compte de résultat'!$C$11*K4</f>
        <v>1008</v>
      </c>
      <c r="L8" s="21" t="n">
        <f aca="false">'Compte de résultat'!$C$11*L4</f>
        <v>1008</v>
      </c>
      <c r="M8" s="21" t="n">
        <f aca="false">'Compte de résultat'!$C$11*M4</f>
        <v>896</v>
      </c>
      <c r="N8" s="21" t="n">
        <f aca="false">'Compte de résultat'!$C$11*N4</f>
        <v>1456</v>
      </c>
      <c r="O8" s="21" t="n">
        <f aca="false">SUM(C8:N8)</f>
        <v>11200</v>
      </c>
    </row>
    <row r="9" customFormat="false" ht="15" hidden="false" customHeight="false" outlineLevel="0" collapsed="false">
      <c r="B9" s="11" t="s">
        <v>179</v>
      </c>
      <c r="C9" s="21" t="n">
        <f aca="false">'CA &amp; Marges'!$C$21/12</f>
        <v>13333.3333333333</v>
      </c>
      <c r="D9" s="21" t="n">
        <f aca="false">'CA &amp; Marges'!$C$21/12</f>
        <v>13333.3333333333</v>
      </c>
      <c r="E9" s="21" t="n">
        <f aca="false">'CA &amp; Marges'!$C$21/12</f>
        <v>13333.3333333333</v>
      </c>
      <c r="F9" s="21" t="n">
        <f aca="false">'CA &amp; Marges'!$C$21/12</f>
        <v>13333.3333333333</v>
      </c>
      <c r="G9" s="21" t="n">
        <f aca="false">'CA &amp; Marges'!$C$21/12</f>
        <v>13333.3333333333</v>
      </c>
      <c r="H9" s="21" t="n">
        <f aca="false">'CA &amp; Marges'!$C$21/12</f>
        <v>13333.3333333333</v>
      </c>
      <c r="I9" s="21" t="n">
        <f aca="false">'CA &amp; Marges'!$C$21/12</f>
        <v>13333.3333333333</v>
      </c>
      <c r="J9" s="21" t="n">
        <f aca="false">'CA &amp; Marges'!$C$21/12</f>
        <v>13333.3333333333</v>
      </c>
      <c r="K9" s="21" t="n">
        <f aca="false">'CA &amp; Marges'!$C$21/12</f>
        <v>13333.3333333333</v>
      </c>
      <c r="L9" s="21" t="n">
        <f aca="false">'CA &amp; Marges'!$C$21/12</f>
        <v>13333.3333333333</v>
      </c>
      <c r="M9" s="21" t="n">
        <f aca="false">'CA &amp; Marges'!$C$21/12</f>
        <v>13333.3333333333</v>
      </c>
      <c r="N9" s="21" t="n">
        <f aca="false">'CA &amp; Marges'!$C$21/12</f>
        <v>13333.3333333333</v>
      </c>
      <c r="O9" s="21" t="n">
        <f aca="false">SUM(C9:N9)</f>
        <v>160000</v>
      </c>
    </row>
    <row r="10" customFormat="false" ht="15" hidden="false" customHeight="false" outlineLevel="0" collapsed="false">
      <c r="B10" s="11" t="s">
        <v>180</v>
      </c>
      <c r="C10" s="21" t="n">
        <f aca="false">Hypothèses!$C$34/12</f>
        <v>3000</v>
      </c>
      <c r="D10" s="21" t="n">
        <f aca="false">Hypothèses!$C$34/12</f>
        <v>3000</v>
      </c>
      <c r="E10" s="21" t="n">
        <f aca="false">Hypothèses!$C$34/12</f>
        <v>3000</v>
      </c>
      <c r="F10" s="21" t="n">
        <f aca="false">Hypothèses!$C$34/12</f>
        <v>3000</v>
      </c>
      <c r="G10" s="21" t="n">
        <f aca="false">Hypothèses!$C$34/12</f>
        <v>3000</v>
      </c>
      <c r="H10" s="21" t="n">
        <f aca="false">Hypothèses!$C$34/12</f>
        <v>3000</v>
      </c>
      <c r="I10" s="21" t="n">
        <f aca="false">Hypothèses!$C$34/12</f>
        <v>3000</v>
      </c>
      <c r="J10" s="21" t="n">
        <f aca="false">Hypothèses!$C$34/12</f>
        <v>3000</v>
      </c>
      <c r="K10" s="21" t="n">
        <f aca="false">Hypothèses!$C$34/12</f>
        <v>3000</v>
      </c>
      <c r="L10" s="21" t="n">
        <f aca="false">Hypothèses!$C$34/12</f>
        <v>3000</v>
      </c>
      <c r="M10" s="21" t="n">
        <f aca="false">Hypothèses!$C$34/12</f>
        <v>3000</v>
      </c>
      <c r="N10" s="21" t="n">
        <f aca="false">Hypothèses!$C$34/12</f>
        <v>3000</v>
      </c>
      <c r="O10" s="21" t="n">
        <f aca="false">SUM(C10:N10)</f>
        <v>36000</v>
      </c>
    </row>
    <row r="11" customFormat="false" ht="15" hidden="false" customHeight="false" outlineLevel="0" collapsed="false">
      <c r="B11" s="11" t="s">
        <v>181</v>
      </c>
      <c r="C11" s="21" t="n">
        <f aca="false">(Hypothèses!$C$35+Hypothèses!$C$36+Hypothèses!$C$38+Hypothèses!$C$39+Hypothèses!$C$40+Hypothèses!$C$41+Hypothèses!$C$42)/12</f>
        <v>3875</v>
      </c>
      <c r="D11" s="21" t="n">
        <f aca="false">(Hypothèses!$C$35+Hypothèses!$C$36+Hypothèses!$C$38+Hypothèses!$C$39+Hypothèses!$C$40+Hypothèses!$C$41+Hypothèses!$C$42)/12</f>
        <v>3875</v>
      </c>
      <c r="E11" s="21" t="n">
        <f aca="false">(Hypothèses!$C$35+Hypothèses!$C$36+Hypothèses!$C$38+Hypothèses!$C$39+Hypothèses!$C$40+Hypothèses!$C$41+Hypothèses!$C$42)/12</f>
        <v>3875</v>
      </c>
      <c r="F11" s="21" t="n">
        <f aca="false">(Hypothèses!$C$35+Hypothèses!$C$36+Hypothèses!$C$38+Hypothèses!$C$39+Hypothèses!$C$40+Hypothèses!$C$41+Hypothèses!$C$42)/12</f>
        <v>3875</v>
      </c>
      <c r="G11" s="21" t="n">
        <f aca="false">(Hypothèses!$C$35+Hypothèses!$C$36+Hypothèses!$C$38+Hypothèses!$C$39+Hypothèses!$C$40+Hypothèses!$C$41+Hypothèses!$C$42)/12</f>
        <v>3875</v>
      </c>
      <c r="H11" s="21" t="n">
        <f aca="false">(Hypothèses!$C$35+Hypothèses!$C$36+Hypothèses!$C$38+Hypothèses!$C$39+Hypothèses!$C$40+Hypothèses!$C$41+Hypothèses!$C$42)/12</f>
        <v>3875</v>
      </c>
      <c r="I11" s="21" t="n">
        <f aca="false">(Hypothèses!$C$35+Hypothèses!$C$36+Hypothèses!$C$38+Hypothèses!$C$39+Hypothèses!$C$40+Hypothèses!$C$41+Hypothèses!$C$42)/12</f>
        <v>3875</v>
      </c>
      <c r="J11" s="21" t="n">
        <f aca="false">(Hypothèses!$C$35+Hypothèses!$C$36+Hypothèses!$C$38+Hypothèses!$C$39+Hypothèses!$C$40+Hypothèses!$C$41+Hypothèses!$C$42)/12</f>
        <v>3875</v>
      </c>
      <c r="K11" s="21" t="n">
        <f aca="false">(Hypothèses!$C$35+Hypothèses!$C$36+Hypothèses!$C$38+Hypothèses!$C$39+Hypothèses!$C$40+Hypothèses!$C$41+Hypothèses!$C$42)/12</f>
        <v>3875</v>
      </c>
      <c r="L11" s="21" t="n">
        <f aca="false">(Hypothèses!$C$35+Hypothèses!$C$36+Hypothèses!$C$38+Hypothèses!$C$39+Hypothèses!$C$40+Hypothèses!$C$41+Hypothèses!$C$42)/12</f>
        <v>3875</v>
      </c>
      <c r="M11" s="21" t="n">
        <f aca="false">(Hypothèses!$C$35+Hypothèses!$C$36+Hypothèses!$C$38+Hypothèses!$C$39+Hypothèses!$C$40+Hypothèses!$C$41+Hypothèses!$C$42)/12</f>
        <v>3875</v>
      </c>
      <c r="N11" s="21" t="n">
        <f aca="false">(Hypothèses!$C$35+Hypothèses!$C$36+Hypothèses!$C$38+Hypothèses!$C$39+Hypothèses!$C$40+Hypothèses!$C$41+Hypothèses!$C$42)/12</f>
        <v>3875</v>
      </c>
      <c r="O11" s="21" t="n">
        <f aca="false">SUM(C11:N11)</f>
        <v>46500</v>
      </c>
    </row>
    <row r="12" customFormat="false" ht="15" hidden="false" customHeight="false" outlineLevel="0" collapsed="false">
      <c r="B12" s="11" t="s">
        <v>182</v>
      </c>
      <c r="C12" s="21" t="n">
        <f aca="false">Hypothèses!$C$46/12</f>
        <v>333.333333333333</v>
      </c>
      <c r="D12" s="21" t="n">
        <f aca="false">Hypothèses!$C$46/12</f>
        <v>333.333333333333</v>
      </c>
      <c r="E12" s="21" t="n">
        <f aca="false">Hypothèses!$C$46/12</f>
        <v>333.333333333333</v>
      </c>
      <c r="F12" s="21" t="n">
        <f aca="false">Hypothèses!$C$46/12</f>
        <v>333.333333333333</v>
      </c>
      <c r="G12" s="21" t="n">
        <f aca="false">Hypothèses!$C$46/12</f>
        <v>333.333333333333</v>
      </c>
      <c r="H12" s="21" t="n">
        <f aca="false">Hypothèses!$C$46/12</f>
        <v>333.333333333333</v>
      </c>
      <c r="I12" s="21" t="n">
        <f aca="false">Hypothèses!$C$46/12</f>
        <v>333.333333333333</v>
      </c>
      <c r="J12" s="21" t="n">
        <f aca="false">Hypothèses!$C$46/12</f>
        <v>333.333333333333</v>
      </c>
      <c r="K12" s="21" t="n">
        <f aca="false">Hypothèses!$C$46/12</f>
        <v>333.333333333333</v>
      </c>
      <c r="L12" s="21" t="n">
        <f aca="false">Hypothèses!$C$46/12</f>
        <v>333.333333333333</v>
      </c>
      <c r="M12" s="21" t="n">
        <f aca="false">Hypothèses!$C$46/12</f>
        <v>333.333333333333</v>
      </c>
      <c r="N12" s="21" t="n">
        <f aca="false">Hypothèses!$C$46/12</f>
        <v>333.333333333333</v>
      </c>
      <c r="O12" s="21" t="n">
        <f aca="false">SUM(C12:N12)</f>
        <v>4000</v>
      </c>
    </row>
    <row r="13" customFormat="false" ht="15" hidden="false" customHeight="false" outlineLevel="0" collapsed="false">
      <c r="B13" s="11" t="s">
        <v>183</v>
      </c>
      <c r="C13" s="21" t="n">
        <f aca="false">'Plan de financement'!$C$24/12</f>
        <v>3111.19357978489</v>
      </c>
      <c r="D13" s="21" t="n">
        <f aca="false">'Plan de financement'!$C$24/12</f>
        <v>3111.19357978489</v>
      </c>
      <c r="E13" s="21" t="n">
        <f aca="false">'Plan de financement'!$C$24/12</f>
        <v>3111.19357978489</v>
      </c>
      <c r="F13" s="21" t="n">
        <f aca="false">'Plan de financement'!$C$24/12</f>
        <v>3111.19357978489</v>
      </c>
      <c r="G13" s="21" t="n">
        <f aca="false">'Plan de financement'!$C$24/12</f>
        <v>3111.19357978489</v>
      </c>
      <c r="H13" s="21" t="n">
        <f aca="false">'Plan de financement'!$C$24/12</f>
        <v>3111.19357978489</v>
      </c>
      <c r="I13" s="21" t="n">
        <f aca="false">'Plan de financement'!$C$24/12</f>
        <v>3111.19357978489</v>
      </c>
      <c r="J13" s="21" t="n">
        <f aca="false">'Plan de financement'!$C$24/12</f>
        <v>3111.19357978489</v>
      </c>
      <c r="K13" s="21" t="n">
        <f aca="false">'Plan de financement'!$C$24/12</f>
        <v>3111.19357978489</v>
      </c>
      <c r="L13" s="21" t="n">
        <f aca="false">'Plan de financement'!$C$24/12</f>
        <v>3111.19357978489</v>
      </c>
      <c r="M13" s="21" t="n">
        <f aca="false">'Plan de financement'!$C$24/12</f>
        <v>3111.19357978489</v>
      </c>
      <c r="N13" s="21" t="n">
        <f aca="false">'Plan de financement'!$C$24/12</f>
        <v>3111.19357978489</v>
      </c>
      <c r="O13" s="21" t="n">
        <f aca="false">SUM(C13:N13)</f>
        <v>37334.3229574187</v>
      </c>
    </row>
    <row r="14" customFormat="false" ht="15" hidden="false" customHeight="false" outlineLevel="0" collapsed="false">
      <c r="B14" s="16" t="s">
        <v>184</v>
      </c>
      <c r="C14" s="28" t="n">
        <f aca="false">SUM(C7:C13)</f>
        <v>31844.5402464516</v>
      </c>
      <c r="D14" s="28" t="n">
        <f aca="false">SUM(D7:D13)</f>
        <v>31844.5402464516</v>
      </c>
      <c r="E14" s="28" t="n">
        <f aca="false">SUM(E7:E13)</f>
        <v>33209.8202464516</v>
      </c>
      <c r="F14" s="28" t="n">
        <f aca="false">SUM(F7:F13)</f>
        <v>34575.1002464516</v>
      </c>
      <c r="G14" s="28" t="n">
        <f aca="false">SUM(G7:G13)</f>
        <v>35940.3802464516</v>
      </c>
      <c r="H14" s="28" t="n">
        <f aca="false">SUM(H7:H13)</f>
        <v>37305.6602464516</v>
      </c>
      <c r="I14" s="28" t="n">
        <f aca="false">SUM(I7:I13)</f>
        <v>35940.3802464516</v>
      </c>
      <c r="J14" s="28" t="n">
        <f aca="false">SUM(J7:J13)</f>
        <v>31844.5402464516</v>
      </c>
      <c r="K14" s="28" t="n">
        <f aca="false">SUM(K7:K13)</f>
        <v>35940.3802464516</v>
      </c>
      <c r="L14" s="28" t="n">
        <f aca="false">SUM(L7:L13)</f>
        <v>35940.3802464516</v>
      </c>
      <c r="M14" s="28" t="n">
        <f aca="false">SUM(M7:M13)</f>
        <v>34575.1002464516</v>
      </c>
      <c r="N14" s="28" t="n">
        <f aca="false">SUM(N7:N13)</f>
        <v>41401.5002464516</v>
      </c>
      <c r="O14" s="23" t="n">
        <f aca="false">SUM(C14:N14)</f>
        <v>420362.322957419</v>
      </c>
    </row>
    <row r="15" customFormat="false" ht="15" hidden="false" customHeight="false" outlineLevel="0" collapsed="false">
      <c r="B15" s="16" t="s">
        <v>185</v>
      </c>
      <c r="C15" s="23" t="n">
        <f aca="false">C5-C14</f>
        <v>-6080.54024645156</v>
      </c>
      <c r="D15" s="23" t="n">
        <f aca="false">D5-D14</f>
        <v>-6080.54024645156</v>
      </c>
      <c r="E15" s="23" t="n">
        <f aca="false">E5-E14</f>
        <v>-3151.82024645155</v>
      </c>
      <c r="F15" s="23" t="n">
        <f aca="false">F5-F14</f>
        <v>-223.100246451555</v>
      </c>
      <c r="G15" s="23" t="n">
        <f aca="false">G5-G14</f>
        <v>2705.61975354844</v>
      </c>
      <c r="H15" s="23" t="n">
        <f aca="false">H5-H14</f>
        <v>5634.33975354844</v>
      </c>
      <c r="I15" s="23" t="n">
        <f aca="false">I5-I14</f>
        <v>2705.61975354844</v>
      </c>
      <c r="J15" s="23" t="n">
        <f aca="false">J5-J14</f>
        <v>-6080.54024645156</v>
      </c>
      <c r="K15" s="23" t="n">
        <f aca="false">K5-K14</f>
        <v>2705.61975354844</v>
      </c>
      <c r="L15" s="23" t="n">
        <f aca="false">L5-L14</f>
        <v>2705.61975354844</v>
      </c>
      <c r="M15" s="23" t="n">
        <f aca="false">M5-M14</f>
        <v>-223.100246451555</v>
      </c>
      <c r="N15" s="23" t="n">
        <f aca="false">N5-N14</f>
        <v>14420.4997535484</v>
      </c>
      <c r="O15" s="23" t="n">
        <f aca="false">SUM(C15:N15)</f>
        <v>9037.6770425813</v>
      </c>
    </row>
    <row r="16" customFormat="false" ht="15" hidden="false" customHeight="false" outlineLevel="0" collapsed="false">
      <c r="B16" s="16" t="s">
        <v>186</v>
      </c>
      <c r="C16" s="26" t="n">
        <f aca="false">Hypothèses!$C$59+C15</f>
        <v>23919.4597535484</v>
      </c>
      <c r="D16" s="26" t="n">
        <f aca="false">C16+D15</f>
        <v>17838.9195070969</v>
      </c>
      <c r="E16" s="26" t="n">
        <f aca="false">D16+E15</f>
        <v>14687.0992606453</v>
      </c>
      <c r="F16" s="26" t="n">
        <f aca="false">E16+F15</f>
        <v>14463.9990141938</v>
      </c>
      <c r="G16" s="26" t="n">
        <f aca="false">F16+G15</f>
        <v>17169.6187677422</v>
      </c>
      <c r="H16" s="26" t="n">
        <f aca="false">G16+H15</f>
        <v>22803.9585212907</v>
      </c>
      <c r="I16" s="26" t="n">
        <f aca="false">H16+I15</f>
        <v>25509.5782748391</v>
      </c>
      <c r="J16" s="26" t="n">
        <f aca="false">I16+J15</f>
        <v>19429.0380283875</v>
      </c>
      <c r="K16" s="26" t="n">
        <f aca="false">J16+K15</f>
        <v>22134.657781936</v>
      </c>
      <c r="L16" s="26" t="n">
        <f aca="false">K16+L15</f>
        <v>24840.2775354844</v>
      </c>
      <c r="M16" s="26" t="n">
        <f aca="false">L16+M15</f>
        <v>24617.1772890329</v>
      </c>
      <c r="N16" s="26" t="n">
        <f aca="false">M16+N15</f>
        <v>39037.6770425813</v>
      </c>
    </row>
    <row r="18" customFormat="false" ht="15" hidden="false" customHeight="false" outlineLevel="0" collapsed="false">
      <c r="B18" s="11" t="s">
        <v>187</v>
      </c>
      <c r="C18" s="21" t="n">
        <f aca="false">Hypothèses!C59</f>
        <v>30000</v>
      </c>
    </row>
    <row r="19" customFormat="false" ht="15" hidden="false" customHeight="false" outlineLevel="0" collapsed="false">
      <c r="B19" s="16" t="s">
        <v>188</v>
      </c>
      <c r="C19" s="23" t="n">
        <f aca="false">MIN(C16:N16)</f>
        <v>14463.9990141938</v>
      </c>
    </row>
    <row r="20" customFormat="false" ht="15" hidden="false" customHeight="false" outlineLevel="0" collapsed="false">
      <c r="B20" s="16" t="s">
        <v>189</v>
      </c>
      <c r="C20" s="23" t="n">
        <f aca="false">N16</f>
        <v>39037.6770425813</v>
      </c>
    </row>
    <row r="22" customFormat="false" ht="30" hidden="false" customHeight="true" outlineLevel="0" collapsed="false">
      <c r="B22" s="8" t="s">
        <v>190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</sheetData>
  <mergeCells count="4">
    <mergeCell ref="B1:O1"/>
    <mergeCell ref="B2:O2"/>
    <mergeCell ref="B6:O6"/>
    <mergeCell ref="B22:O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5" min="3" style="0" width="17"/>
  </cols>
  <sheetData>
    <row r="1" customFormat="false" ht="33.75" hidden="false" customHeight="true" outlineLevel="0" collapsed="false">
      <c r="B1" s="1" t="s">
        <v>191</v>
      </c>
      <c r="C1" s="1"/>
      <c r="D1" s="1"/>
      <c r="E1" s="1"/>
    </row>
    <row r="2" customFormat="false" ht="18" hidden="false" customHeight="true" outlineLevel="0" collapsed="false">
      <c r="B2" s="2" t="s">
        <v>192</v>
      </c>
      <c r="C2" s="2"/>
      <c r="D2" s="2"/>
      <c r="E2" s="2"/>
    </row>
    <row r="3" customFormat="false" ht="18" hidden="false" customHeight="true" outlineLevel="0" collapsed="false">
      <c r="B3" s="19" t="s">
        <v>193</v>
      </c>
      <c r="C3" s="20" t="s">
        <v>90</v>
      </c>
      <c r="D3" s="20" t="s">
        <v>91</v>
      </c>
      <c r="E3" s="20" t="s">
        <v>92</v>
      </c>
    </row>
    <row r="4" customFormat="false" ht="15" hidden="false" customHeight="false" outlineLevel="0" collapsed="false">
      <c r="B4" s="16" t="s">
        <v>121</v>
      </c>
      <c r="C4" s="27" t="n">
        <f aca="false">'Compte de résultat'!C4</f>
        <v>429400</v>
      </c>
      <c r="D4" s="27" t="n">
        <f aca="false">'Compte de résultat'!D4</f>
        <v>463752</v>
      </c>
      <c r="E4" s="27" t="n">
        <f aca="false">'Compte de résultat'!E4</f>
        <v>486939.6</v>
      </c>
    </row>
    <row r="5" customFormat="false" ht="15" hidden="false" customHeight="false" outlineLevel="0" collapsed="false">
      <c r="B5" s="11" t="s">
        <v>194</v>
      </c>
      <c r="C5" s="27" t="n">
        <f aca="false">'Compte de résultat'!C19</f>
        <v>46372</v>
      </c>
      <c r="D5" s="27" t="n">
        <f aca="false">'Compte de résultat'!D19</f>
        <v>60806.76</v>
      </c>
      <c r="E5" s="27" t="n">
        <f aca="false">'Compte de résultat'!E19</f>
        <v>67292.998</v>
      </c>
    </row>
    <row r="6" customFormat="false" ht="15" hidden="false" customHeight="false" outlineLevel="0" collapsed="false">
      <c r="B6" s="11" t="s">
        <v>130</v>
      </c>
      <c r="C6" s="33" t="n">
        <f aca="false">'Compte de résultat'!C20</f>
        <v>0.107992547741034</v>
      </c>
      <c r="D6" s="33" t="n">
        <f aca="false">'Compte de résultat'!D20</f>
        <v>0.131119132639859</v>
      </c>
      <c r="E6" s="33" t="n">
        <f aca="false">'Compte de résultat'!E20</f>
        <v>0.138195780339081</v>
      </c>
    </row>
    <row r="7" customFormat="false" ht="15" hidden="false" customHeight="false" outlineLevel="0" collapsed="false">
      <c r="B7" s="16" t="s">
        <v>195</v>
      </c>
      <c r="C7" s="27" t="n">
        <f aca="false">'Compte de résultat'!C26</f>
        <v>17644.0571428571</v>
      </c>
      <c r="D7" s="27" t="n">
        <f aca="false">'Compte de résultat'!D26</f>
        <v>30962.9659959784</v>
      </c>
      <c r="E7" s="27" t="n">
        <f aca="false">'Compte de résultat'!E26</f>
        <v>37402.5168919031</v>
      </c>
    </row>
    <row r="9" customFormat="false" ht="19.5" hidden="false" customHeight="true" outlineLevel="0" collapsed="false">
      <c r="B9" s="10" t="s">
        <v>196</v>
      </c>
      <c r="C9" s="10"/>
      <c r="D9" s="10"/>
      <c r="E9" s="10"/>
    </row>
    <row r="10" customFormat="false" ht="15" hidden="false" customHeight="false" outlineLevel="0" collapsed="false">
      <c r="B10" s="11" t="s">
        <v>106</v>
      </c>
      <c r="C10" s="33" t="n">
        <f aca="false">'CA &amp; Marges'!C18</f>
        <v>0.291867722403354</v>
      </c>
    </row>
    <row r="11" customFormat="false" ht="15" hidden="false" customHeight="false" outlineLevel="0" collapsed="false">
      <c r="B11" s="11" t="s">
        <v>197</v>
      </c>
      <c r="C11" s="33" t="n">
        <f aca="false">'CA &amp; Marges'!C22</f>
        <v>0.372612948299953</v>
      </c>
    </row>
    <row r="12" customFormat="false" ht="15" hidden="false" customHeight="false" outlineLevel="0" collapsed="false">
      <c r="B12" s="11" t="s">
        <v>198</v>
      </c>
      <c r="C12" s="33" t="n">
        <f aca="false">'CA &amp; Marges'!C24</f>
        <v>0.664480670703307</v>
      </c>
    </row>
    <row r="13" customFormat="false" ht="15" hidden="false" customHeight="false" outlineLevel="0" collapsed="false">
      <c r="B13" s="11" t="s">
        <v>199</v>
      </c>
      <c r="C13" s="27" t="n">
        <f aca="false">IFERROR(('CA &amp; Marges'!C4+'CA &amp; Marges'!C5)/Hypothèses!C9,0)</f>
        <v>30</v>
      </c>
    </row>
    <row r="14" customFormat="false" ht="15" hidden="false" customHeight="false" outlineLevel="0" collapsed="false">
      <c r="B14" s="11" t="s">
        <v>200</v>
      </c>
      <c r="C14" s="27" t="n">
        <f aca="false">IFERROR(('Compte de résultat'!C7+('Compte de résultat'!C17-'Compte de résultat'!C11)+'Compte de résultat'!C18+'Compte de résultat'!C21+'Compte de résultat'!C23)/(('Compte de résultat'!C4-('CA &amp; Marges'!C15+'Compte de résultat'!C11))/'Compte de résultat'!C4),0)</f>
        <v>398965.671985421</v>
      </c>
    </row>
    <row r="15" customFormat="false" ht="15" hidden="false" customHeight="false" outlineLevel="0" collapsed="false">
      <c r="B15" s="11" t="s">
        <v>201</v>
      </c>
      <c r="C15" s="34" t="n">
        <f aca="false">IFERROR(Hypothèses!C52/'Compte de résultat'!C19,0)</f>
        <v>2.5877684809799</v>
      </c>
    </row>
    <row r="16" customFormat="false" ht="15" hidden="false" customHeight="false" outlineLevel="0" collapsed="false">
      <c r="B16" s="11" t="s">
        <v>188</v>
      </c>
      <c r="C16" s="27" t="n">
        <f aca="false">Trésorerie!C19</f>
        <v>14463.9990141938</v>
      </c>
    </row>
    <row r="17" customFormat="false" ht="15" hidden="false" customHeight="false" outlineLevel="0" collapsed="false">
      <c r="B17" s="11" t="s">
        <v>202</v>
      </c>
      <c r="C17" s="27" t="n">
        <f aca="false">'Plan de financement'!C18</f>
        <v>15500</v>
      </c>
    </row>
    <row r="19" customFormat="false" ht="19.5" hidden="false" customHeight="true" outlineLevel="0" collapsed="false">
      <c r="B19" s="10" t="s">
        <v>203</v>
      </c>
      <c r="C19" s="10"/>
      <c r="D19" s="10"/>
      <c r="E19" s="10"/>
    </row>
    <row r="20" customFormat="false" ht="15" hidden="false" customHeight="false" outlineLevel="0" collapsed="false">
      <c r="B20" s="35" t="str">
        <f aca="false">IF('Plan de financement'!C18&lt;0,"⚠️ Plan de financement déséquilibré : il manque "&amp;TEXT(-'Plan de financement'!C18,"#,##0")&amp;" € de financement",IF(Trésorerie!C19&lt;0,"⚠️ Alerte trésorerie : trou de "&amp;TEXT(-Trésorerie!C19,"#,##0")&amp;" € en Année 1",IF('CA &amp; Marges'!C24&gt;0.7,"⚠️ Prime cost trop élevé ("&amp;TEXT('CA &amp; Marges'!C24,"0.0%")&amp;") : rentabilité menacée",IF('Compte de résultat'!C20&lt;0.08,"⚠️ Rentabilité insuffisante : marge d'EBE de "&amp;TEXT('Compte de résultat'!C20,"0.0%"),"✅ Projet viable — marge d'EBE de "&amp;TEXT('Compte de résultat'!C20,"0.0%")&amp;". À challenger avec un expert-comptable."))))</f>
        <v>✅ Projet viable — marge d'EBE de 10.8%. À challenger avec un expert-comptable.</v>
      </c>
      <c r="C20" s="35"/>
      <c r="D20" s="35"/>
      <c r="E20" s="35"/>
    </row>
    <row r="21" customFormat="false" ht="15" hidden="false" customHeight="false" outlineLevel="0" collapsed="false">
      <c r="B21" s="35"/>
      <c r="C21" s="35"/>
      <c r="D21" s="35"/>
      <c r="E21" s="35"/>
    </row>
    <row r="22" customFormat="false" ht="15" hidden="false" customHeight="false" outlineLevel="0" collapsed="false">
      <c r="B22" s="35"/>
      <c r="C22" s="35"/>
      <c r="D22" s="35"/>
      <c r="E22" s="35"/>
    </row>
    <row r="24" customFormat="false" ht="30" hidden="false" customHeight="true" outlineLevel="0" collapsed="false">
      <c r="B24" s="36" t="s">
        <v>204</v>
      </c>
      <c r="C24" s="36"/>
      <c r="D24" s="36"/>
      <c r="E24" s="36"/>
    </row>
  </sheetData>
  <mergeCells count="6">
    <mergeCell ref="B1:E1"/>
    <mergeCell ref="B2:E2"/>
    <mergeCell ref="B9:E9"/>
    <mergeCell ref="B19:E19"/>
    <mergeCell ref="B20:E22"/>
    <mergeCell ref="B24:E24"/>
  </mergeCells>
  <conditionalFormatting sqref="B20">
    <cfRule type="expression" priority="2" aboveAverage="0" equalAverage="0" bottom="0" percent="0" rank="0" text="" dxfId="0">
      <formula>ISNUMBER(SEARCH("✅",$B$20))</formula>
    </cfRule>
    <cfRule type="expression" priority="3" aboveAverage="0" equalAverage="0" bottom="0" percent="0" rank="0" text="" dxfId="1">
      <formula>ISNUMBER(SEARCH("⚠",$B$20))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2026-06-30T17:10:46Z</dcterms:created>
  <dc:creator>openpyxl</dc:creator>
  <dc:description/>
  <dc:language>en-US</dc:language>
  <cp:lastModifiedBy/>
  <dcterms:modified xsi:type="dcterms:W3CDTF">2026-06-30T17:10:46Z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