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Hypothèses" sheetId="2" state="visible" r:id="rId4"/>
    <sheet name="CA &amp; Marges" sheetId="3" state="visible" r:id="rId5"/>
    <sheet name="Compte de résultat" sheetId="4" state="visible" r:id="rId6"/>
    <sheet name="Plan de financement" sheetId="5" state="visible" r:id="rId7"/>
    <sheet name="Trésorerie" sheetId="6" state="visible" r:id="rId8"/>
    <sheet name="Synthès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Débit max de ton four en plein coup de feu.</t>
        </r>
      </text>
    </comment>
    <comment ref="C8" authorId="0">
      <text>
        <r>
          <rPr>
            <sz val="10"/>
            <rFont val="Arial"/>
            <family val="2"/>
          </rPr>
          <t xml:space="preserve">On tourne rarement le four à plein régime : 40-55 % est réaliste.</t>
        </r>
      </text>
    </comment>
    <comment ref="C19" authorId="0">
      <text>
        <r>
          <rPr>
            <sz val="10"/>
            <rFont val="Arial"/>
            <family val="2"/>
          </rPr>
          <t xml:space="preserve">Tout ce qui se vend en plus des pizzas.</t>
        </r>
      </text>
    </comment>
    <comment ref="C20" authorId="0">
      <text>
        <r>
          <rPr>
            <sz val="10"/>
            <rFont val="Arial"/>
            <family val="2"/>
          </rPr>
          <t xml:space="preserve">Pour la TVA à 20 % (bière, vin).</t>
        </r>
      </text>
    </comment>
    <comment ref="C27" authorId="0">
      <text>
        <r>
          <rPr>
            <sz val="10"/>
            <rFont val="Arial"/>
            <family val="2"/>
          </rPr>
          <t xml:space="preserve">Souvent bas en pizza : 25-32 %.</t>
        </r>
      </text>
    </comment>
    <comment ref="C29" authorId="0">
      <text>
        <r>
          <rPr>
            <sz val="10"/>
            <rFont val="Arial"/>
            <family val="2"/>
          </rPr>
          <t xml:space="preserve">Poste spécifique pizza, vite significatif si beaucoup d'emporté/livraison.</t>
        </r>
      </text>
    </comment>
    <comment ref="C32" authorId="0">
      <text>
        <r>
          <rPr>
            <sz val="10"/>
            <rFont val="Arial"/>
            <family val="2"/>
          </rPr>
          <t xml:space="preserve">Pizzaïolo(s) + équipe. Salaires + charges.</t>
        </r>
      </text>
    </comment>
    <comment ref="C38" authorId="0">
      <text>
        <r>
          <rPr>
            <sz val="10"/>
            <rFont val="Arial"/>
            <family val="2"/>
          </rPr>
          <t xml:space="preserve">Un four à pizza consomme beaucoup : ne sous-estime pas.</t>
        </r>
      </text>
    </comment>
    <comment ref="C40" authorId="0">
      <text>
        <r>
          <rPr>
            <sz val="10"/>
            <rFont val="Arial"/>
            <family val="2"/>
          </rPr>
          <t xml:space="preserve">Uber Eats / Deliveroo : ~25-30 %.</t>
        </r>
      </text>
    </comment>
    <comment ref="C55" authorId="0">
      <text>
        <r>
          <rPr>
            <sz val="10"/>
            <rFont val="Arial"/>
            <family val="2"/>
          </rPr>
          <t xml:space="preserve">0 si création pure.</t>
        </r>
      </text>
    </comment>
    <comment ref="C56" authorId="0">
      <text>
        <r>
          <rPr>
            <sz val="10"/>
            <rFont val="Arial"/>
            <family val="2"/>
          </rPr>
          <t xml:space="preserve">Bois, gaz ou électrique : ton outil n°1.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1" authorId="0">
      <text>
        <r>
          <rPr>
            <sz val="10"/>
            <rFont val="Arial"/>
            <family val="2"/>
          </rPr>
          <t xml:space="preserve">Ventilation simplifiée : pizzas à emporter 5,5 %, alcool 20 %, le reste 10 %. La ventilation réelle dépend du conditionnement et se gère via ta caisse certifiée NF525.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5" authorId="0">
      <text>
        <r>
          <rPr>
            <sz val="10"/>
            <rFont val="Arial"/>
            <family val="2"/>
          </rPr>
          <t xml:space="preserve">IS : 15 % jusqu'à 42 500 € (sous conditions), 25 % au-delà.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4" authorId="0">
      <text>
        <r>
          <rPr>
            <sz val="10"/>
            <rFont val="Arial"/>
            <family val="2"/>
          </rPr>
          <t xml:space="preserve">Répartis ton activité sur l'année. La somme doit faire 100 %.</t>
        </r>
      </text>
    </comment>
  </commentList>
</comments>
</file>

<file path=xl/sharedStrings.xml><?xml version="1.0" encoding="utf-8"?>
<sst xmlns="http://schemas.openxmlformats.org/spreadsheetml/2006/main" count="264" uniqueCount="211">
  <si>
    <t xml:space="preserve">BUSINESS PLAN — PIZZERIA</t>
  </si>
  <si>
    <t xml:space="preserve">Modèle Excel gratuit · ComptaCool, l'expert-comptable en ligne des indépendants</t>
  </si>
  <si>
    <t xml:space="preserve">Comment utiliser ce fichier</t>
  </si>
  <si>
    <t xml:space="preserve">Tu ne remplis QUE les cellules bleues. Tout le reste se calcule automatiquement.</t>
  </si>
  <si>
    <t xml:space="preserve">1. Onglet « Hypothèses » : capacité du four, prix de la pizza, canaux de vente, coûts, charges, financement.</t>
  </si>
  <si>
    <t xml:space="preserve">2. Onglet « Trésorerie » : répartis ton activité mois par mois (la somme des poids doit faire 100 %).</t>
  </si>
  <si>
    <t xml:space="preserve">3. Les onglets « CA &amp; Marges », « Compte de résultat » et « Plan de financement » se remplissent tout seuls.</t>
  </si>
  <si>
    <t xml:space="preserve">4. Onglet « Synthèse » : lis tes ratios (food cost, prime cost, marge/pizza…) et le VERDICT automatique.</t>
  </si>
  <si>
    <t xml:space="preserve">5. Teste plusieurs scénarios : duplique le fichier pour une version réaliste et une version pessimiste.</t>
  </si>
  <si>
    <t xml:space="preserve">Code couleur</t>
  </si>
  <si>
    <t xml:space="preserve">   Cellule à remplir par toi</t>
  </si>
  <si>
    <t xml:space="preserve">   Cellule calculée automatiquement — ne pas modifier</t>
  </si>
  <si>
    <t xml:space="preserve">⚠️ La pizza est un produit à forte marge, mais le four plafonne ta production et les emballages/commissions de livraison pèsent vite. Ce modèle te donne la structure ; pour fiabiliser tes chiffres et convaincre ta banque, fais-toi accompagner.</t>
  </si>
  <si>
    <t xml:space="preserve">Offert par ComptaCool — expert.comptable@comptacool.fr — comptacool.fr</t>
  </si>
  <si>
    <t xml:space="preserve">HYPOTHÈSES</t>
  </si>
  <si>
    <t xml:space="preserve">Ton unique point de saisie — ne remplis que les cellules bleues</t>
  </si>
  <si>
    <t xml:space="preserve">1. CAPACITÉ DE PRODUCTION (LE FOUR)</t>
  </si>
  <si>
    <t xml:space="preserve">Capacité du four (pizzas / heure)</t>
  </si>
  <si>
    <t xml:space="preserve">pizzas/h</t>
  </si>
  <si>
    <t xml:space="preserve">Heures de service par jour</t>
  </si>
  <si>
    <t xml:space="preserve">h / jour</t>
  </si>
  <si>
    <t xml:space="preserve">Jours d'ouverture par an</t>
  </si>
  <si>
    <t xml:space="preserve">jours</t>
  </si>
  <si>
    <t xml:space="preserve">Taux d'utilisation moyen — Année 1</t>
  </si>
  <si>
    <t xml:space="preserve">% de la capacité</t>
  </si>
  <si>
    <t xml:space="preserve">→ Pizzas vendues / an (Année 1)</t>
  </si>
  <si>
    <t xml:space="preserve">calculé</t>
  </si>
  <si>
    <t xml:space="preserve">2. RÉPARTITION DES VENTES PAR CANAL</t>
  </si>
  <si>
    <t xml:space="preserve">Part SUR PLACE</t>
  </si>
  <si>
    <t xml:space="preserve">% des pizzas</t>
  </si>
  <si>
    <t xml:space="preserve">Part À EMPORTER</t>
  </si>
  <si>
    <t xml:space="preserve">Part LIVRAISON</t>
  </si>
  <si>
    <t xml:space="preserve">→ Contrôle (doit faire 100 %)</t>
  </si>
  <si>
    <t xml:space="preserve">3. PRIX &amp; VENTES ADDITIONNELLES</t>
  </si>
  <si>
    <t xml:space="preserve">Prix moyen d'une pizza (HT)</t>
  </si>
  <si>
    <t xml:space="preserve">€ / pizza</t>
  </si>
  <si>
    <t xml:space="preserve">CA additionnel (boissons, entrées, desserts)</t>
  </si>
  <si>
    <t xml:space="preserve">% du CA pizzas</t>
  </si>
  <si>
    <t xml:space="preserve">Part des boissons ALCOOLISÉES</t>
  </si>
  <si>
    <t xml:space="preserve">% du CA additionnel</t>
  </si>
  <si>
    <t xml:space="preserve">4. CROISSANCE DU CHIFFRE D'AFFAIRES</t>
  </si>
  <si>
    <t xml:space="preserve">Croissance du CA — Année 2</t>
  </si>
  <si>
    <t xml:space="preserve">% vs Année 1</t>
  </si>
  <si>
    <t xml:space="preserve">Croissance du CA — Année 3</t>
  </si>
  <si>
    <t xml:space="preserve">% vs Année 2</t>
  </si>
  <si>
    <t xml:space="preserve">5. COÛTS MATIÈRES (FOOD COST)</t>
  </si>
  <si>
    <t xml:space="preserve">Coût matière PIZZAS (pâte, fromage, garnitures)</t>
  </si>
  <si>
    <t xml:space="preserve">Coût matière VENTES ADDITIONNELLES</t>
  </si>
  <si>
    <t xml:space="preserve">Coût des EMBALLAGES (cartons, boîtes)</t>
  </si>
  <si>
    <t xml:space="preserve">% du CA emporté + livré</t>
  </si>
  <si>
    <t xml:space="preserve">6. PERSONNEL</t>
  </si>
  <si>
    <t xml:space="preserve">Masse salariale chargée — Année 1</t>
  </si>
  <si>
    <t xml:space="preserve">€ / an</t>
  </si>
  <si>
    <t xml:space="preserve">Évolution masse salariale — An2 &amp; An3</t>
  </si>
  <si>
    <t xml:space="preserve">% / an</t>
  </si>
  <si>
    <t xml:space="preserve">Effectif (ETP)</t>
  </si>
  <si>
    <t xml:space="preserve">ETP</t>
  </si>
  <si>
    <t xml:space="preserve">7. CHARGES EXTERNES (Année 1)</t>
  </si>
  <si>
    <t xml:space="preserve">Loyer annuel</t>
  </si>
  <si>
    <t xml:space="preserve">Énergie (four = gros poste)</t>
  </si>
  <si>
    <t xml:space="preserve">Petit équipement &amp; consommables</t>
  </si>
  <si>
    <t xml:space="preserve">Commission plateformes livraison</t>
  </si>
  <si>
    <t xml:space="preserve">% du CA pizzas livrées</t>
  </si>
  <si>
    <t xml:space="preserve">Assurances</t>
  </si>
  <si>
    <t xml:space="preserve">Honoraires (expert-comptable…)</t>
  </si>
  <si>
    <t xml:space="preserve">Marketing &amp; communication</t>
  </si>
  <si>
    <t xml:space="preserve">Entretien &amp; maintenance (four)</t>
  </si>
  <si>
    <t xml:space="preserve">Autres charges externes</t>
  </si>
  <si>
    <t xml:space="preserve">Inflation des charges — An2 &amp; An3</t>
  </si>
  <si>
    <t xml:space="preserve">8. IMPÔTS &amp; TAXES</t>
  </si>
  <si>
    <t xml:space="preserve">CFE &amp; taxes diverses (annuel)</t>
  </si>
  <si>
    <t xml:space="preserve">9. AMORTISSEMENT</t>
  </si>
  <si>
    <t xml:space="preserve">Durée d'amortissement (four + travaux + matériel)</t>
  </si>
  <si>
    <t xml:space="preserve">ans</t>
  </si>
  <si>
    <t xml:space="preserve">10. PLAN DE FINANCEMENT — BESOINS</t>
  </si>
  <si>
    <t xml:space="preserve">Rachat du fonds / droit au bail</t>
  </si>
  <si>
    <t xml:space="preserve">€</t>
  </si>
  <si>
    <t xml:space="preserve">Four à pizza</t>
  </si>
  <si>
    <t xml:space="preserve">Travaux &amp; aménagement</t>
  </si>
  <si>
    <t xml:space="preserve">Autre matériel &amp; mobilier (pétrin, chambre froide…)</t>
  </si>
  <si>
    <t xml:space="preserve">Frais d'établissement &amp; honoraires</t>
  </si>
  <si>
    <t xml:space="preserve">Droits d'enregistrement</t>
  </si>
  <si>
    <t xml:space="preserve">Stock initial</t>
  </si>
  <si>
    <t xml:space="preserve">Dépôt de garantie (loyer)</t>
  </si>
  <si>
    <t xml:space="preserve">Trésorerie de démarrage souhaitée</t>
  </si>
  <si>
    <t xml:space="preserve">11. PLAN DE FINANCEMENT — RESSOURCES &amp; EMPRUNT</t>
  </si>
  <si>
    <t xml:space="preserve">Apport personnel</t>
  </si>
  <si>
    <t xml:space="preserve">Montant de l'emprunt</t>
  </si>
  <si>
    <t xml:space="preserve">Taux d'intérêt annuel</t>
  </si>
  <si>
    <t xml:space="preserve">Durée de l'emprunt</t>
  </si>
  <si>
    <t xml:space="preserve">CA &amp; MARGES</t>
  </si>
  <si>
    <t xml:space="preserve">Pizzas par canal, food cost (avec emballages), prime cost et TVA</t>
  </si>
  <si>
    <t xml:space="preserve">CHIFFRE D'AFFAIRES (HT)</t>
  </si>
  <si>
    <t xml:space="preserve">Année 1</t>
  </si>
  <si>
    <t xml:space="preserve">Année 2</t>
  </si>
  <si>
    <t xml:space="preserve">Année 3</t>
  </si>
  <si>
    <t xml:space="preserve">Pizzas vendues / an</t>
  </si>
  <si>
    <t xml:space="preserve">CA pizzas — sur place</t>
  </si>
  <si>
    <t xml:space="preserve">CA pizzas — à emporter</t>
  </si>
  <si>
    <t xml:space="preserve">CA pizzas — livraison</t>
  </si>
  <si>
    <t xml:space="preserve">CA PIZZAS TOTAL</t>
  </si>
  <si>
    <t xml:space="preserve">CA ventes additionnelles (boissons, entrées, desserts)</t>
  </si>
  <si>
    <t xml:space="preserve">CHIFFRE D'AFFAIRES TOTAL HT</t>
  </si>
  <si>
    <t xml:space="preserve">COÛTS MATIÈRES (ACHATS CONSOMMÉS)</t>
  </si>
  <si>
    <t xml:space="preserve">Coût matière pizzas</t>
  </si>
  <si>
    <t xml:space="preserve">Coût matière ventes additionnelles</t>
  </si>
  <si>
    <t xml:space="preserve">Coût des emballages (cartons, boîtes)</t>
  </si>
  <si>
    <t xml:space="preserve">TOTAL COÛT MATIÈRE</t>
  </si>
  <si>
    <t xml:space="preserve">MARGE BRUTE</t>
  </si>
  <si>
    <t xml:space="preserve">Taux de marge brute</t>
  </si>
  <si>
    <t xml:space="preserve">Food cost (coût matière / CA)</t>
  </si>
  <si>
    <t xml:space="preserve">PERSONNEL &amp; PRIME COST</t>
  </si>
  <si>
    <t xml:space="preserve">Masse salariale chargée</t>
  </si>
  <si>
    <t xml:space="preserve">Ratio masse salariale / CA</t>
  </si>
  <si>
    <t xml:space="preserve">PRIME COST (matière + personnel)</t>
  </si>
  <si>
    <t xml:space="preserve">Prime cost (% du CA)</t>
  </si>
  <si>
    <t xml:space="preserve">VENTILATION TVA ESTIMÉE — Année 1</t>
  </si>
  <si>
    <t xml:space="preserve">Base TVA 5,5 % (pizzas à emporter, contenant fermé)</t>
  </si>
  <si>
    <t xml:space="preserve">Base TVA 20 % (boissons alcoolisées)</t>
  </si>
  <si>
    <t xml:space="preserve">Base TVA 10 % (sur place, livraison, reste)</t>
  </si>
  <si>
    <t xml:space="preserve">TVA collectée estimée</t>
  </si>
  <si>
    <t xml:space="preserve">CA TTC estimé (Année 1)</t>
  </si>
  <si>
    <t xml:space="preserve">COMPTE DE RÉSULTAT PRÉVISIONNEL</t>
  </si>
  <si>
    <t xml:space="preserve">Sur 3 ans — du chiffre d'affaires au résultat net</t>
  </si>
  <si>
    <t xml:space="preserve">(€ HT)</t>
  </si>
  <si>
    <t xml:space="preserve">Chiffre d'affaires HT</t>
  </si>
  <si>
    <t xml:space="preserve">Coût matières (pizzas, additionnel, emballages)</t>
  </si>
  <si>
    <t xml:space="preserve">Loyer</t>
  </si>
  <si>
    <t xml:space="preserve">Énergie (four)</t>
  </si>
  <si>
    <t xml:space="preserve">Commissions plateformes livraison</t>
  </si>
  <si>
    <t xml:space="preserve">Honoraires</t>
  </si>
  <si>
    <t xml:space="preserve">Entretien &amp; maintenance</t>
  </si>
  <si>
    <t xml:space="preserve">Total charges externes</t>
  </si>
  <si>
    <t xml:space="preserve">Impôts &amp; taxes (CFE…)</t>
  </si>
  <si>
    <t xml:space="preserve">EXCÉDENT BRUT D'EXPLOITATION (EBE)</t>
  </si>
  <si>
    <t xml:space="preserve">Marge d'EBE (%)</t>
  </si>
  <si>
    <t xml:space="preserve">Dotations aux amortissements</t>
  </si>
  <si>
    <t xml:space="preserve">RÉSULTAT D'EXPLOITATION</t>
  </si>
  <si>
    <t xml:space="preserve">Charges financières (intérêts)</t>
  </si>
  <si>
    <t xml:space="preserve">RÉSULTAT AVANT IMPÔT</t>
  </si>
  <si>
    <t xml:space="preserve">Impôt sur les sociétés (IS)</t>
  </si>
  <si>
    <t xml:space="preserve">RÉSULTAT NET</t>
  </si>
  <si>
    <t xml:space="preserve">PLAN DE FINANCEMENT</t>
  </si>
  <si>
    <t xml:space="preserve">Besoins, ressources et échéancier de l'emprunt</t>
  </si>
  <si>
    <t xml:space="preserve">BESOINS</t>
  </si>
  <si>
    <t xml:space="preserve">Montant (€)</t>
  </si>
  <si>
    <t xml:space="preserve">Autre matériel &amp; mobilier</t>
  </si>
  <si>
    <t xml:space="preserve">Dépôt de garantie</t>
  </si>
  <si>
    <t xml:space="preserve">Trésorerie de démarrage</t>
  </si>
  <si>
    <t xml:space="preserve">TOTAL BESOINS</t>
  </si>
  <si>
    <t xml:space="preserve">RESSOURCES</t>
  </si>
  <si>
    <t xml:space="preserve">Emprunt bancaire</t>
  </si>
  <si>
    <t xml:space="preserve">TOTAL RESSOURCES</t>
  </si>
  <si>
    <t xml:space="preserve">Équilibre (Ressources − Besoins)</t>
  </si>
  <si>
    <t xml:space="preserve">ÉCHÉANCIER DE L'EMPRUNT</t>
  </si>
  <si>
    <t xml:space="preserve">Montant emprunté</t>
  </si>
  <si>
    <t xml:space="preserve">Durée (années)</t>
  </si>
  <si>
    <t xml:space="preserve">Annuité constante</t>
  </si>
  <si>
    <t xml:space="preserve">Année</t>
  </si>
  <si>
    <t xml:space="preserve">Capital début</t>
  </si>
  <si>
    <t xml:space="preserve">Intérêts</t>
  </si>
  <si>
    <t xml:space="preserve">Capital remboursé</t>
  </si>
  <si>
    <t xml:space="preserve">Annuité</t>
  </si>
  <si>
    <t xml:space="preserve">Capital fin</t>
  </si>
  <si>
    <t xml:space="preserve">PLAN DE TRÉSORERIE — Année 1</t>
  </si>
  <si>
    <t xml:space="preserve">Mois par mois · base HT · charges fixes lissées sur 12 mois</t>
  </si>
  <si>
    <t xml:space="preserve">(€ HT, Année 1)</t>
  </si>
  <si>
    <t xml:space="preserve">Janv</t>
  </si>
  <si>
    <t xml:space="preserve">Févr</t>
  </si>
  <si>
    <t xml:space="preserve">Mars</t>
  </si>
  <si>
    <t xml:space="preserve">Avr</t>
  </si>
  <si>
    <t xml:space="preserve">Mai</t>
  </si>
  <si>
    <t xml:space="preserve">Juin</t>
  </si>
  <si>
    <t xml:space="preserve">Juil</t>
  </si>
  <si>
    <t xml:space="preserve">Août</t>
  </si>
  <si>
    <t xml:space="preserve">Sept</t>
  </si>
  <si>
    <t xml:space="preserve">Oct</t>
  </si>
  <si>
    <t xml:space="preserve">Nov</t>
  </si>
  <si>
    <t xml:space="preserve">Déc</t>
  </si>
  <si>
    <t xml:space="preserve">Total</t>
  </si>
  <si>
    <t xml:space="preserve">Poids saisonnier (somme = 100 %)</t>
  </si>
  <si>
    <t xml:space="preserve">Encaissements (CA HT)</t>
  </si>
  <si>
    <t xml:space="preserve">Décaissements</t>
  </si>
  <si>
    <t xml:space="preserve">Coût matières (variable)</t>
  </si>
  <si>
    <t xml:space="preserve">Commissions plateformes (variable)</t>
  </si>
  <si>
    <t xml:space="preserve">Masse salariale (fixe)</t>
  </si>
  <si>
    <t xml:space="preserve">Loyer (fixe)</t>
  </si>
  <si>
    <t xml:space="preserve">Autres charges externes (fixe)</t>
  </si>
  <si>
    <t xml:space="preserve">Impôts &amp; taxes (fixe)</t>
  </si>
  <si>
    <t xml:space="preserve">Annuité d'emprunt</t>
  </si>
  <si>
    <t xml:space="preserve">Total décaissements</t>
  </si>
  <si>
    <t xml:space="preserve">Solde du mois</t>
  </si>
  <si>
    <t xml:space="preserve">Trésorerie cumulée</t>
  </si>
  <si>
    <t xml:space="preserve">Trésorerie de démarrage (apportée)</t>
  </si>
  <si>
    <t xml:space="preserve">Trésorerie minimale — Année 1</t>
  </si>
  <si>
    <t xml:space="preserve">Trésorerie de fin — Année 1</t>
  </si>
  <si>
    <t xml:space="preserve">Note : trésorerie hors TVA (collectée et déductible se compensent). Coûts variables (matière, emballages, commissions) suivis à la saisonnalité ; charges fixes lissées sur 12 mois.</t>
  </si>
  <si>
    <t xml:space="preserve">SYNTHÈSE &amp; VERDICT</t>
  </si>
  <si>
    <t xml:space="preserve">Tes indicateurs clés et le diagnostic automatique de viabilité</t>
  </si>
  <si>
    <t xml:space="preserve">INDICATEURS CLÉS</t>
  </si>
  <si>
    <t xml:space="preserve">Excédent brut d'exploitation (EBE)</t>
  </si>
  <si>
    <t xml:space="preserve">Résultat net</t>
  </si>
  <si>
    <t xml:space="preserve">INDICATEURS PIZZERIA (Année 1)</t>
  </si>
  <si>
    <t xml:space="preserve">Marge brute par pizza vendue (€)</t>
  </si>
  <si>
    <t xml:space="preserve">Ratio masse salariale (% du CA)</t>
  </si>
  <si>
    <t xml:space="preserve">Prime cost (matière + personnel)</t>
  </si>
  <si>
    <t xml:space="preserve">Seuil de rentabilité (CA HT)</t>
  </si>
  <si>
    <t xml:space="preserve">Multiple de valorisation du fonds (× EBE)</t>
  </si>
  <si>
    <t xml:space="preserve">Équilibre du plan de financement</t>
  </si>
  <si>
    <t xml:space="preserve">VERDICT AUTOMATIQUE</t>
  </si>
  <si>
    <t xml:space="preserve">Modèle offert par ComptaCool — on t'aide à fiabiliser ton business plan et convaincre ta banque · expert.comptable@comptacool.fr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</si>
</sst>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"/>
    <numFmt numFmtId="167" formatCode="0.0%"/>
    <numFmt numFmtId="168" formatCode="#,##0&quot; €&quot;;\(#,##0&quot; €)&quot;"/>
    <numFmt numFmtId="169" formatCode="0.0\x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2D5A8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3"/>
      <color rgb="FF1A1A1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D5A8C"/>
        <bgColor rgb="FF0066CC"/>
      </patternFill>
    </fill>
    <fill>
      <patternFill patternType="solid">
        <fgColor rgb="FFDCE9F7"/>
        <bgColor rgb="FFC9E7CC"/>
      </patternFill>
    </fill>
    <fill>
      <patternFill patternType="solid">
        <fgColor rgb="FFFBF3E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/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/>
      <right/>
      <top style="thin">
        <color rgb="FF2D5A8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9E7CC"/>
        </patternFill>
      </fill>
    </dxf>
    <dxf>
      <fill>
        <patternFill>
          <bgColor rgb="FFFBE2B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BF3E2"/>
      <rgbColor rgb="FFDCE9F7"/>
      <rgbColor rgb="FF660066"/>
      <rgbColor rgb="FFDAA55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9E7CC"/>
      <rgbColor rgb="FFFFFF99"/>
      <rgbColor rgb="FF99CCFF"/>
      <rgbColor rgb="FFFF99CC"/>
      <rgbColor rgb="FFCC99FF"/>
      <rgbColor rgb="FFFBE2B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D5A8C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E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0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0</v>
      </c>
      <c r="C1" s="1"/>
      <c r="D1" s="1"/>
      <c r="E1" s="1"/>
    </row>
    <row r="2" customFormat="false" ht="18" hidden="false" customHeight="true" outlineLevel="0" collapsed="false">
      <c r="B2" s="2" t="s">
        <v>1</v>
      </c>
      <c r="C2" s="2"/>
      <c r="D2" s="2"/>
      <c r="E2" s="2"/>
    </row>
    <row r="4" customFormat="false" ht="15" hidden="false" customHeight="false" outlineLevel="0" collapsed="false">
      <c r="B4" s="3" t="s">
        <v>2</v>
      </c>
    </row>
    <row r="6" customFormat="false" ht="18" hidden="false" customHeight="true" outlineLevel="0" collapsed="false">
      <c r="B6" s="4" t="s">
        <v>3</v>
      </c>
      <c r="C6" s="4"/>
      <c r="D6" s="4"/>
      <c r="E6" s="4"/>
    </row>
    <row r="7" customFormat="false" ht="19.5" hidden="false" customHeight="true" outlineLevel="0" collapsed="false">
      <c r="B7" s="5" t="s">
        <v>4</v>
      </c>
      <c r="C7" s="5"/>
      <c r="D7" s="5"/>
      <c r="E7" s="5"/>
    </row>
    <row r="8" customFormat="false" ht="19.5" hidden="false" customHeight="true" outlineLevel="0" collapsed="false">
      <c r="B8" s="5" t="s">
        <v>5</v>
      </c>
      <c r="C8" s="5"/>
      <c r="D8" s="5"/>
      <c r="E8" s="5"/>
    </row>
    <row r="9" customFormat="false" ht="19.5" hidden="false" customHeight="true" outlineLevel="0" collapsed="false">
      <c r="B9" s="5" t="s">
        <v>6</v>
      </c>
      <c r="C9" s="5"/>
      <c r="D9" s="5"/>
      <c r="E9" s="5"/>
    </row>
    <row r="10" customFormat="false" ht="19.5" hidden="false" customHeight="true" outlineLevel="0" collapsed="false">
      <c r="B10" s="5" t="s">
        <v>7</v>
      </c>
      <c r="C10" s="5"/>
      <c r="D10" s="5"/>
      <c r="E10" s="5"/>
    </row>
    <row r="11" customFormat="false" ht="19.5" hidden="false" customHeight="true" outlineLevel="0" collapsed="false">
      <c r="B11" s="5" t="s">
        <v>8</v>
      </c>
      <c r="C11" s="5"/>
      <c r="D11" s="5"/>
      <c r="E11" s="5"/>
    </row>
    <row r="13" customFormat="false" ht="15" hidden="false" customHeight="false" outlineLevel="0" collapsed="false">
      <c r="B13" s="3" t="s">
        <v>9</v>
      </c>
    </row>
    <row r="14" customFormat="false" ht="15" hidden="false" customHeight="false" outlineLevel="0" collapsed="false">
      <c r="B14" s="6" t="s">
        <v>10</v>
      </c>
      <c r="C14" s="6"/>
      <c r="D14" s="6"/>
      <c r="E14" s="6"/>
    </row>
    <row r="15" customFormat="false" ht="15" hidden="false" customHeight="false" outlineLevel="0" collapsed="false">
      <c r="B15" s="7" t="s">
        <v>11</v>
      </c>
      <c r="C15" s="7"/>
      <c r="D15" s="7"/>
      <c r="E15" s="7"/>
    </row>
    <row r="17" customFormat="false" ht="45.75" hidden="false" customHeight="true" outlineLevel="0" collapsed="false">
      <c r="B17" s="8" t="s">
        <v>12</v>
      </c>
      <c r="C17" s="8"/>
      <c r="D17" s="8"/>
      <c r="E17" s="8"/>
    </row>
    <row r="19" customFormat="false" ht="15" hidden="false" customHeight="false" outlineLevel="0" collapsed="false">
      <c r="B19" s="9" t="s">
        <v>13</v>
      </c>
      <c r="C19" s="9"/>
      <c r="D19" s="9"/>
      <c r="E19" s="9"/>
    </row>
  </sheetData>
  <mergeCells count="12">
    <mergeCell ref="B1:E1"/>
    <mergeCell ref="B2:E2"/>
    <mergeCell ref="B6:E6"/>
    <mergeCell ref="B7:E7"/>
    <mergeCell ref="B8:E8"/>
    <mergeCell ref="B9:E9"/>
    <mergeCell ref="B10:E10"/>
    <mergeCell ref="B11:E11"/>
    <mergeCell ref="B14:E14"/>
    <mergeCell ref="B15:E15"/>
    <mergeCell ref="B17:E17"/>
    <mergeCell ref="B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D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8"/>
    <col collapsed="false" customWidth="true" hidden="false" outlineLevel="0" max="3" min="3" style="0" width="16"/>
    <col collapsed="false" customWidth="true" hidden="false" outlineLevel="0" max="4" min="4" style="0" width="28"/>
    <col collapsed="false" customWidth="true" hidden="false" outlineLevel="0" max="5" min="5" style="0" width="2"/>
  </cols>
  <sheetData>
    <row r="1" customFormat="false" ht="33.75" hidden="false" customHeight="true" outlineLevel="0" collapsed="false">
      <c r="B1" s="1" t="s">
        <v>14</v>
      </c>
      <c r="C1" s="1"/>
      <c r="D1" s="1"/>
    </row>
    <row r="2" customFormat="false" ht="18" hidden="false" customHeight="true" outlineLevel="0" collapsed="false">
      <c r="B2" s="2" t="s">
        <v>15</v>
      </c>
      <c r="C2" s="2"/>
      <c r="D2" s="2"/>
    </row>
    <row r="4" customFormat="false" ht="19.5" hidden="false" customHeight="true" outlineLevel="0" collapsed="false">
      <c r="B4" s="10" t="s">
        <v>16</v>
      </c>
      <c r="C4" s="10"/>
      <c r="D4" s="10"/>
    </row>
    <row r="5" customFormat="false" ht="15" hidden="false" customHeight="false" outlineLevel="0" collapsed="false">
      <c r="B5" s="11" t="s">
        <v>17</v>
      </c>
      <c r="C5" s="12" t="n">
        <v>40</v>
      </c>
      <c r="D5" s="13" t="s">
        <v>18</v>
      </c>
    </row>
    <row r="6" customFormat="false" ht="15" hidden="false" customHeight="false" outlineLevel="0" collapsed="false">
      <c r="B6" s="11" t="s">
        <v>19</v>
      </c>
      <c r="C6" s="14" t="n">
        <v>6</v>
      </c>
      <c r="D6" s="13" t="s">
        <v>20</v>
      </c>
    </row>
    <row r="7" customFormat="false" ht="15" hidden="false" customHeight="false" outlineLevel="0" collapsed="false">
      <c r="B7" s="11" t="s">
        <v>21</v>
      </c>
      <c r="C7" s="12" t="n">
        <v>310</v>
      </c>
      <c r="D7" s="13" t="s">
        <v>22</v>
      </c>
    </row>
    <row r="8" customFormat="false" ht="15" hidden="false" customHeight="false" outlineLevel="0" collapsed="false">
      <c r="B8" s="11" t="s">
        <v>23</v>
      </c>
      <c r="C8" s="15" t="n">
        <v>0.45</v>
      </c>
      <c r="D8" s="13" t="s">
        <v>24</v>
      </c>
    </row>
    <row r="9" customFormat="false" ht="15" hidden="false" customHeight="false" outlineLevel="0" collapsed="false">
      <c r="B9" s="16" t="s">
        <v>25</v>
      </c>
      <c r="C9" s="17" t="n">
        <f aca="false">C5*C6*C7*C8</f>
        <v>33480</v>
      </c>
      <c r="D9" s="13" t="s">
        <v>26</v>
      </c>
    </row>
    <row r="11" customFormat="false" ht="19.5" hidden="false" customHeight="true" outlineLevel="0" collapsed="false">
      <c r="B11" s="10" t="s">
        <v>27</v>
      </c>
      <c r="C11" s="10"/>
      <c r="D11" s="10"/>
    </row>
    <row r="12" customFormat="false" ht="15" hidden="false" customHeight="false" outlineLevel="0" collapsed="false">
      <c r="B12" s="11" t="s">
        <v>28</v>
      </c>
      <c r="C12" s="15" t="n">
        <v>0.35</v>
      </c>
      <c r="D12" s="13" t="s">
        <v>29</v>
      </c>
    </row>
    <row r="13" customFormat="false" ht="15" hidden="false" customHeight="false" outlineLevel="0" collapsed="false">
      <c r="B13" s="11" t="s">
        <v>30</v>
      </c>
      <c r="C13" s="15" t="n">
        <v>0.4</v>
      </c>
      <c r="D13" s="13" t="s">
        <v>29</v>
      </c>
    </row>
    <row r="14" customFormat="false" ht="15" hidden="false" customHeight="false" outlineLevel="0" collapsed="false">
      <c r="B14" s="11" t="s">
        <v>31</v>
      </c>
      <c r="C14" s="15" t="n">
        <v>0.25</v>
      </c>
      <c r="D14" s="13" t="s">
        <v>29</v>
      </c>
    </row>
    <row r="15" customFormat="false" ht="15" hidden="false" customHeight="false" outlineLevel="0" collapsed="false">
      <c r="B15" s="16" t="s">
        <v>32</v>
      </c>
      <c r="C15" s="18" t="n">
        <f aca="false">C12+C13+C14</f>
        <v>1</v>
      </c>
      <c r="D15" s="13" t="s">
        <v>26</v>
      </c>
    </row>
    <row r="17" customFormat="false" ht="19.5" hidden="false" customHeight="true" outlineLevel="0" collapsed="false">
      <c r="B17" s="10" t="s">
        <v>33</v>
      </c>
      <c r="C17" s="10"/>
      <c r="D17" s="10"/>
    </row>
    <row r="18" customFormat="false" ht="15" hidden="false" customHeight="false" outlineLevel="0" collapsed="false">
      <c r="B18" s="11" t="s">
        <v>34</v>
      </c>
      <c r="C18" s="19" t="n">
        <v>11</v>
      </c>
      <c r="D18" s="13" t="s">
        <v>35</v>
      </c>
    </row>
    <row r="19" customFormat="false" ht="15" hidden="false" customHeight="false" outlineLevel="0" collapsed="false">
      <c r="B19" s="11" t="s">
        <v>36</v>
      </c>
      <c r="C19" s="15" t="n">
        <v>0.35</v>
      </c>
      <c r="D19" s="13" t="s">
        <v>37</v>
      </c>
    </row>
    <row r="20" customFormat="false" ht="15" hidden="false" customHeight="false" outlineLevel="0" collapsed="false">
      <c r="B20" s="11" t="s">
        <v>38</v>
      </c>
      <c r="C20" s="15" t="n">
        <v>0.25</v>
      </c>
      <c r="D20" s="13" t="s">
        <v>39</v>
      </c>
    </row>
    <row r="22" customFormat="false" ht="19.5" hidden="false" customHeight="true" outlineLevel="0" collapsed="false">
      <c r="B22" s="10" t="s">
        <v>40</v>
      </c>
      <c r="C22" s="10"/>
      <c r="D22" s="10"/>
    </row>
    <row r="23" customFormat="false" ht="15" hidden="false" customHeight="false" outlineLevel="0" collapsed="false">
      <c r="B23" s="11" t="s">
        <v>41</v>
      </c>
      <c r="C23" s="15" t="n">
        <v>0.1</v>
      </c>
      <c r="D23" s="13" t="s">
        <v>42</v>
      </c>
    </row>
    <row r="24" customFormat="false" ht="15" hidden="false" customHeight="false" outlineLevel="0" collapsed="false">
      <c r="B24" s="11" t="s">
        <v>43</v>
      </c>
      <c r="C24" s="15" t="n">
        <v>0.05</v>
      </c>
      <c r="D24" s="13" t="s">
        <v>44</v>
      </c>
    </row>
    <row r="26" customFormat="false" ht="19.5" hidden="false" customHeight="true" outlineLevel="0" collapsed="false">
      <c r="B26" s="10" t="s">
        <v>45</v>
      </c>
      <c r="C26" s="10"/>
      <c r="D26" s="10"/>
    </row>
    <row r="27" customFormat="false" ht="15" hidden="false" customHeight="false" outlineLevel="0" collapsed="false">
      <c r="B27" s="11" t="s">
        <v>46</v>
      </c>
      <c r="C27" s="15" t="n">
        <v>0.28</v>
      </c>
      <c r="D27" s="13" t="s">
        <v>37</v>
      </c>
    </row>
    <row r="28" customFormat="false" ht="15" hidden="false" customHeight="false" outlineLevel="0" collapsed="false">
      <c r="B28" s="11" t="s">
        <v>47</v>
      </c>
      <c r="C28" s="15" t="n">
        <v>0.3</v>
      </c>
      <c r="D28" s="13" t="s">
        <v>39</v>
      </c>
    </row>
    <row r="29" customFormat="false" ht="15" hidden="false" customHeight="false" outlineLevel="0" collapsed="false">
      <c r="B29" s="11" t="s">
        <v>48</v>
      </c>
      <c r="C29" s="15" t="n">
        <v>0.03</v>
      </c>
      <c r="D29" s="13" t="s">
        <v>49</v>
      </c>
    </row>
    <row r="31" customFormat="false" ht="19.5" hidden="false" customHeight="true" outlineLevel="0" collapsed="false">
      <c r="B31" s="10" t="s">
        <v>50</v>
      </c>
      <c r="C31" s="10"/>
      <c r="D31" s="10"/>
    </row>
    <row r="32" customFormat="false" ht="15" hidden="false" customHeight="false" outlineLevel="0" collapsed="false">
      <c r="B32" s="11" t="s">
        <v>51</v>
      </c>
      <c r="C32" s="19" t="n">
        <v>150000</v>
      </c>
      <c r="D32" s="13" t="s">
        <v>52</v>
      </c>
    </row>
    <row r="33" customFormat="false" ht="15" hidden="false" customHeight="false" outlineLevel="0" collapsed="false">
      <c r="B33" s="11" t="s">
        <v>53</v>
      </c>
      <c r="C33" s="15" t="n">
        <v>0.04</v>
      </c>
      <c r="D33" s="13" t="s">
        <v>54</v>
      </c>
    </row>
    <row r="34" customFormat="false" ht="15" hidden="false" customHeight="false" outlineLevel="0" collapsed="false">
      <c r="B34" s="11" t="s">
        <v>55</v>
      </c>
      <c r="C34" s="14" t="n">
        <v>5</v>
      </c>
      <c r="D34" s="13" t="s">
        <v>56</v>
      </c>
    </row>
    <row r="36" customFormat="false" ht="19.5" hidden="false" customHeight="true" outlineLevel="0" collapsed="false">
      <c r="B36" s="10" t="s">
        <v>57</v>
      </c>
      <c r="C36" s="10"/>
      <c r="D36" s="10"/>
    </row>
    <row r="37" customFormat="false" ht="15" hidden="false" customHeight="false" outlineLevel="0" collapsed="false">
      <c r="B37" s="11" t="s">
        <v>58</v>
      </c>
      <c r="C37" s="19" t="n">
        <v>30000</v>
      </c>
      <c r="D37" s="13" t="s">
        <v>52</v>
      </c>
    </row>
    <row r="38" customFormat="false" ht="15" hidden="false" customHeight="false" outlineLevel="0" collapsed="false">
      <c r="B38" s="11" t="s">
        <v>59</v>
      </c>
      <c r="C38" s="19" t="n">
        <v>18000</v>
      </c>
      <c r="D38" s="13" t="s">
        <v>52</v>
      </c>
    </row>
    <row r="39" customFormat="false" ht="15" hidden="false" customHeight="false" outlineLevel="0" collapsed="false">
      <c r="B39" s="11" t="s">
        <v>60</v>
      </c>
      <c r="C39" s="19" t="n">
        <v>6000</v>
      </c>
      <c r="D39" s="13" t="s">
        <v>52</v>
      </c>
    </row>
    <row r="40" customFormat="false" ht="15" hidden="false" customHeight="false" outlineLevel="0" collapsed="false">
      <c r="B40" s="11" t="s">
        <v>61</v>
      </c>
      <c r="C40" s="15" t="n">
        <v>0.28</v>
      </c>
      <c r="D40" s="13" t="s">
        <v>62</v>
      </c>
    </row>
    <row r="41" customFormat="false" ht="15" hidden="false" customHeight="false" outlineLevel="0" collapsed="false">
      <c r="B41" s="11" t="s">
        <v>63</v>
      </c>
      <c r="C41" s="19" t="n">
        <v>4000</v>
      </c>
      <c r="D41" s="13" t="s">
        <v>52</v>
      </c>
    </row>
    <row r="42" customFormat="false" ht="15" hidden="false" customHeight="false" outlineLevel="0" collapsed="false">
      <c r="B42" s="11" t="s">
        <v>64</v>
      </c>
      <c r="C42" s="19" t="n">
        <v>5000</v>
      </c>
      <c r="D42" s="13" t="s">
        <v>52</v>
      </c>
    </row>
    <row r="43" customFormat="false" ht="15" hidden="false" customHeight="false" outlineLevel="0" collapsed="false">
      <c r="B43" s="11" t="s">
        <v>65</v>
      </c>
      <c r="C43" s="19" t="n">
        <v>7000</v>
      </c>
      <c r="D43" s="13" t="s">
        <v>52</v>
      </c>
    </row>
    <row r="44" customFormat="false" ht="15" hidden="false" customHeight="false" outlineLevel="0" collapsed="false">
      <c r="B44" s="11" t="s">
        <v>66</v>
      </c>
      <c r="C44" s="19" t="n">
        <v>4000</v>
      </c>
      <c r="D44" s="13" t="s">
        <v>52</v>
      </c>
    </row>
    <row r="45" customFormat="false" ht="15" hidden="false" customHeight="false" outlineLevel="0" collapsed="false">
      <c r="B45" s="11" t="s">
        <v>67</v>
      </c>
      <c r="C45" s="19" t="n">
        <v>4000</v>
      </c>
      <c r="D45" s="13" t="s">
        <v>52</v>
      </c>
    </row>
    <row r="46" customFormat="false" ht="15" hidden="false" customHeight="false" outlineLevel="0" collapsed="false">
      <c r="B46" s="11" t="s">
        <v>68</v>
      </c>
      <c r="C46" s="15" t="n">
        <v>0.03</v>
      </c>
      <c r="D46" s="13" t="s">
        <v>54</v>
      </c>
    </row>
    <row r="48" customFormat="false" ht="19.5" hidden="false" customHeight="true" outlineLevel="0" collapsed="false">
      <c r="B48" s="10" t="s">
        <v>69</v>
      </c>
      <c r="C48" s="10"/>
      <c r="D48" s="10"/>
    </row>
    <row r="49" customFormat="false" ht="15" hidden="false" customHeight="false" outlineLevel="0" collapsed="false">
      <c r="B49" s="11" t="s">
        <v>70</v>
      </c>
      <c r="C49" s="19" t="n">
        <v>3000</v>
      </c>
      <c r="D49" s="13" t="s">
        <v>52</v>
      </c>
    </row>
    <row r="51" customFormat="false" ht="19.5" hidden="false" customHeight="true" outlineLevel="0" collapsed="false">
      <c r="B51" s="10" t="s">
        <v>71</v>
      </c>
      <c r="C51" s="10"/>
      <c r="D51" s="10"/>
    </row>
    <row r="52" customFormat="false" ht="15" hidden="false" customHeight="false" outlineLevel="0" collapsed="false">
      <c r="B52" s="11" t="s">
        <v>72</v>
      </c>
      <c r="C52" s="12" t="n">
        <v>7</v>
      </c>
      <c r="D52" s="13" t="s">
        <v>73</v>
      </c>
    </row>
    <row r="54" customFormat="false" ht="19.5" hidden="false" customHeight="true" outlineLevel="0" collapsed="false">
      <c r="B54" s="10" t="s">
        <v>74</v>
      </c>
      <c r="C54" s="10"/>
      <c r="D54" s="10"/>
    </row>
    <row r="55" customFormat="false" ht="15" hidden="false" customHeight="false" outlineLevel="0" collapsed="false">
      <c r="B55" s="11" t="s">
        <v>75</v>
      </c>
      <c r="C55" s="19" t="n">
        <v>80000</v>
      </c>
      <c r="D55" s="13" t="s">
        <v>76</v>
      </c>
    </row>
    <row r="56" customFormat="false" ht="15" hidden="false" customHeight="false" outlineLevel="0" collapsed="false">
      <c r="B56" s="11" t="s">
        <v>77</v>
      </c>
      <c r="C56" s="19" t="n">
        <v>25000</v>
      </c>
      <c r="D56" s="13" t="s">
        <v>76</v>
      </c>
    </row>
    <row r="57" customFormat="false" ht="15" hidden="false" customHeight="false" outlineLevel="0" collapsed="false">
      <c r="B57" s="11" t="s">
        <v>78</v>
      </c>
      <c r="C57" s="19" t="n">
        <v>45000</v>
      </c>
      <c r="D57" s="13" t="s">
        <v>76</v>
      </c>
    </row>
    <row r="58" customFormat="false" ht="15" hidden="false" customHeight="false" outlineLevel="0" collapsed="false">
      <c r="B58" s="11" t="s">
        <v>79</v>
      </c>
      <c r="C58" s="19" t="n">
        <v>30000</v>
      </c>
      <c r="D58" s="13" t="s">
        <v>76</v>
      </c>
    </row>
    <row r="59" customFormat="false" ht="15" hidden="false" customHeight="false" outlineLevel="0" collapsed="false">
      <c r="B59" s="11" t="s">
        <v>80</v>
      </c>
      <c r="C59" s="19" t="n">
        <v>7000</v>
      </c>
      <c r="D59" s="13" t="s">
        <v>76</v>
      </c>
    </row>
    <row r="60" customFormat="false" ht="15" hidden="false" customHeight="false" outlineLevel="0" collapsed="false">
      <c r="B60" s="11" t="s">
        <v>81</v>
      </c>
      <c r="C60" s="19" t="n">
        <v>3000</v>
      </c>
      <c r="D60" s="13" t="s">
        <v>76</v>
      </c>
    </row>
    <row r="61" customFormat="false" ht="15" hidden="false" customHeight="false" outlineLevel="0" collapsed="false">
      <c r="B61" s="11" t="s">
        <v>82</v>
      </c>
      <c r="C61" s="19" t="n">
        <v>8000</v>
      </c>
      <c r="D61" s="13" t="s">
        <v>76</v>
      </c>
    </row>
    <row r="62" customFormat="false" ht="15" hidden="false" customHeight="false" outlineLevel="0" collapsed="false">
      <c r="B62" s="11" t="s">
        <v>83</v>
      </c>
      <c r="C62" s="19" t="n">
        <v>9000</v>
      </c>
      <c r="D62" s="13" t="s">
        <v>76</v>
      </c>
    </row>
    <row r="63" customFormat="false" ht="15" hidden="false" customHeight="false" outlineLevel="0" collapsed="false">
      <c r="B63" s="11" t="s">
        <v>84</v>
      </c>
      <c r="C63" s="19" t="n">
        <v>25000</v>
      </c>
      <c r="D63" s="13" t="s">
        <v>76</v>
      </c>
    </row>
    <row r="65" customFormat="false" ht="19.5" hidden="false" customHeight="true" outlineLevel="0" collapsed="false">
      <c r="B65" s="10" t="s">
        <v>85</v>
      </c>
      <c r="C65" s="10"/>
      <c r="D65" s="10"/>
    </row>
    <row r="66" customFormat="false" ht="15" hidden="false" customHeight="false" outlineLevel="0" collapsed="false">
      <c r="B66" s="11" t="s">
        <v>86</v>
      </c>
      <c r="C66" s="19" t="n">
        <v>70000</v>
      </c>
      <c r="D66" s="13" t="s">
        <v>76</v>
      </c>
    </row>
    <row r="67" customFormat="false" ht="15" hidden="false" customHeight="false" outlineLevel="0" collapsed="false">
      <c r="B67" s="11" t="s">
        <v>87</v>
      </c>
      <c r="C67" s="19" t="n">
        <v>170000</v>
      </c>
      <c r="D67" s="13" t="s">
        <v>76</v>
      </c>
    </row>
    <row r="68" customFormat="false" ht="15" hidden="false" customHeight="false" outlineLevel="0" collapsed="false">
      <c r="B68" s="11" t="s">
        <v>88</v>
      </c>
      <c r="C68" s="15" t="n">
        <v>0.045</v>
      </c>
      <c r="D68" s="13" t="s">
        <v>54</v>
      </c>
    </row>
    <row r="69" customFormat="false" ht="15" hidden="false" customHeight="false" outlineLevel="0" collapsed="false">
      <c r="B69" s="11" t="s">
        <v>89</v>
      </c>
      <c r="C69" s="12" t="n">
        <v>7</v>
      </c>
      <c r="D69" s="13" t="s">
        <v>73</v>
      </c>
    </row>
  </sheetData>
  <mergeCells count="13">
    <mergeCell ref="B1:D1"/>
    <mergeCell ref="B2:D2"/>
    <mergeCell ref="B4:D4"/>
    <mergeCell ref="B11:D11"/>
    <mergeCell ref="B17:D17"/>
    <mergeCell ref="B22:D22"/>
    <mergeCell ref="B26:D26"/>
    <mergeCell ref="B31:D31"/>
    <mergeCell ref="B36:D36"/>
    <mergeCell ref="B48:D48"/>
    <mergeCell ref="B51:D51"/>
    <mergeCell ref="B54:D54"/>
    <mergeCell ref="B65:D6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90</v>
      </c>
      <c r="C1" s="1"/>
      <c r="D1" s="1"/>
      <c r="E1" s="1"/>
    </row>
    <row r="2" customFormat="false" ht="18" hidden="false" customHeight="true" outlineLevel="0" collapsed="false">
      <c r="B2" s="2" t="s">
        <v>91</v>
      </c>
      <c r="C2" s="2"/>
      <c r="D2" s="2"/>
      <c r="E2" s="2"/>
    </row>
    <row r="3" customFormat="false" ht="18" hidden="false" customHeight="true" outlineLevel="0" collapsed="false">
      <c r="B3" s="20" t="s">
        <v>92</v>
      </c>
      <c r="C3" s="21" t="s">
        <v>93</v>
      </c>
      <c r="D3" s="21" t="s">
        <v>94</v>
      </c>
      <c r="E3" s="21" t="s">
        <v>95</v>
      </c>
    </row>
    <row r="4" customFormat="false" ht="15" hidden="false" customHeight="false" outlineLevel="0" collapsed="false">
      <c r="B4" s="11" t="s">
        <v>96</v>
      </c>
      <c r="C4" s="22" t="n">
        <f aca="false">Hypothèses!C9</f>
        <v>33480</v>
      </c>
      <c r="D4" s="22" t="n">
        <f aca="false">C4*(1+Hypothèses!C23)</f>
        <v>36828</v>
      </c>
      <c r="E4" s="22" t="n">
        <f aca="false">D4*(1+Hypothèses!C24)</f>
        <v>38669.4</v>
      </c>
    </row>
    <row r="5" customFormat="false" ht="15" hidden="false" customHeight="false" outlineLevel="0" collapsed="false">
      <c r="B5" s="11" t="s">
        <v>97</v>
      </c>
      <c r="C5" s="23" t="n">
        <f aca="false">Hypothèses!C9*Hypothèses!C12*Hypothèses!C18</f>
        <v>128898</v>
      </c>
      <c r="D5" s="23" t="n">
        <f aca="false">C5*(1+Hypothèses!C23)</f>
        <v>141787.8</v>
      </c>
      <c r="E5" s="23" t="n">
        <f aca="false">D5*(1+Hypothèses!C24)</f>
        <v>148877.19</v>
      </c>
    </row>
    <row r="6" customFormat="false" ht="15" hidden="false" customHeight="false" outlineLevel="0" collapsed="false">
      <c r="B6" s="11" t="s">
        <v>98</v>
      </c>
      <c r="C6" s="23" t="n">
        <f aca="false">Hypothèses!C9*Hypothèses!C13*Hypothèses!C18</f>
        <v>147312</v>
      </c>
      <c r="D6" s="23" t="n">
        <f aca="false">C6*(1+Hypothèses!C23)</f>
        <v>162043.2</v>
      </c>
      <c r="E6" s="23" t="n">
        <f aca="false">D6*(1+Hypothèses!C24)</f>
        <v>170145.36</v>
      </c>
    </row>
    <row r="7" customFormat="false" ht="15" hidden="false" customHeight="false" outlineLevel="0" collapsed="false">
      <c r="B7" s="11" t="s">
        <v>99</v>
      </c>
      <c r="C7" s="23" t="n">
        <f aca="false">Hypothèses!C9*Hypothèses!C14*Hypothèses!C18</f>
        <v>92070</v>
      </c>
      <c r="D7" s="23" t="n">
        <f aca="false">C7*(1+Hypothèses!C23)</f>
        <v>101277</v>
      </c>
      <c r="E7" s="23" t="n">
        <f aca="false">D7*(1+Hypothèses!C24)</f>
        <v>106340.85</v>
      </c>
    </row>
    <row r="8" customFormat="false" ht="15" hidden="false" customHeight="false" outlineLevel="0" collapsed="false">
      <c r="B8" s="16" t="s">
        <v>100</v>
      </c>
      <c r="C8" s="24" t="n">
        <f aca="false">SUM(C5:C7)</f>
        <v>368280</v>
      </c>
      <c r="D8" s="24" t="n">
        <f aca="false">SUM(D5:D7)</f>
        <v>405108</v>
      </c>
      <c r="E8" s="24" t="n">
        <f aca="false">SUM(E5:E7)</f>
        <v>425363.4</v>
      </c>
    </row>
    <row r="9" customFormat="false" ht="15" hidden="false" customHeight="false" outlineLevel="0" collapsed="false">
      <c r="B9" s="11" t="s">
        <v>101</v>
      </c>
      <c r="C9" s="23" t="n">
        <f aca="false">C8*Hypothèses!C19</f>
        <v>128898</v>
      </c>
      <c r="D9" s="23" t="n">
        <f aca="false">D8*Hypothèses!C19</f>
        <v>141787.8</v>
      </c>
      <c r="E9" s="23" t="n">
        <f aca="false">E8*Hypothèses!C19</f>
        <v>148877.19</v>
      </c>
    </row>
    <row r="10" customFormat="false" ht="15" hidden="false" customHeight="false" outlineLevel="0" collapsed="false">
      <c r="B10" s="16" t="s">
        <v>102</v>
      </c>
      <c r="C10" s="25" t="n">
        <f aca="false">C8+C9</f>
        <v>497178</v>
      </c>
      <c r="D10" s="25" t="n">
        <f aca="false">D8+D9</f>
        <v>546895.8</v>
      </c>
      <c r="E10" s="25" t="n">
        <f aca="false">E8+E9</f>
        <v>574240.59</v>
      </c>
    </row>
    <row r="12" customFormat="false" ht="19.5" hidden="false" customHeight="true" outlineLevel="0" collapsed="false">
      <c r="B12" s="10" t="s">
        <v>103</v>
      </c>
      <c r="C12" s="10"/>
      <c r="D12" s="10"/>
      <c r="E12" s="10"/>
    </row>
    <row r="13" customFormat="false" ht="15" hidden="false" customHeight="false" outlineLevel="0" collapsed="false">
      <c r="B13" s="11" t="s">
        <v>104</v>
      </c>
      <c r="C13" s="23" t="n">
        <f aca="false">C8*Hypothèses!C27</f>
        <v>103118.4</v>
      </c>
      <c r="D13" s="23" t="n">
        <f aca="false">D8*Hypothèses!C27</f>
        <v>113430.24</v>
      </c>
      <c r="E13" s="23" t="n">
        <f aca="false">E8*Hypothèses!C27</f>
        <v>119101.752</v>
      </c>
    </row>
    <row r="14" customFormat="false" ht="15" hidden="false" customHeight="false" outlineLevel="0" collapsed="false">
      <c r="B14" s="11" t="s">
        <v>105</v>
      </c>
      <c r="C14" s="23" t="n">
        <f aca="false">C9*Hypothèses!C28</f>
        <v>38669.4</v>
      </c>
      <c r="D14" s="23" t="n">
        <f aca="false">D9*Hypothèses!C28</f>
        <v>42536.34</v>
      </c>
      <c r="E14" s="23" t="n">
        <f aca="false">E9*Hypothèses!C28</f>
        <v>44663.157</v>
      </c>
    </row>
    <row r="15" customFormat="false" ht="15" hidden="false" customHeight="false" outlineLevel="0" collapsed="false">
      <c r="B15" s="11" t="s">
        <v>106</v>
      </c>
      <c r="C15" s="23" t="n">
        <f aca="false">(C6+C7)*Hypothèses!C29</f>
        <v>7181.46</v>
      </c>
      <c r="D15" s="23" t="n">
        <f aca="false">(D6+D7)*Hypothèses!C29</f>
        <v>7899.606</v>
      </c>
      <c r="E15" s="23" t="n">
        <f aca="false">(E6+E7)*Hypothèses!C29</f>
        <v>8294.5863</v>
      </c>
    </row>
    <row r="16" customFormat="false" ht="15" hidden="false" customHeight="false" outlineLevel="0" collapsed="false">
      <c r="B16" s="16" t="s">
        <v>107</v>
      </c>
      <c r="C16" s="25" t="n">
        <f aca="false">SUM(C13:C15)</f>
        <v>148969.26</v>
      </c>
      <c r="D16" s="25" t="n">
        <f aca="false">SUM(D13:D15)</f>
        <v>163866.186</v>
      </c>
      <c r="E16" s="25" t="n">
        <f aca="false">SUM(E13:E15)</f>
        <v>172059.4953</v>
      </c>
    </row>
    <row r="17" customFormat="false" ht="15" hidden="false" customHeight="false" outlineLevel="0" collapsed="false">
      <c r="B17" s="16" t="s">
        <v>108</v>
      </c>
      <c r="C17" s="24" t="n">
        <f aca="false">C10-C16</f>
        <v>348208.74</v>
      </c>
      <c r="D17" s="24" t="n">
        <f aca="false">D10-D16</f>
        <v>383029.614</v>
      </c>
      <c r="E17" s="24" t="n">
        <f aca="false">E10-E16</f>
        <v>402181.0947</v>
      </c>
    </row>
    <row r="18" customFormat="false" ht="15" hidden="false" customHeight="false" outlineLevel="0" collapsed="false">
      <c r="B18" s="11" t="s">
        <v>109</v>
      </c>
      <c r="C18" s="26" t="n">
        <f aca="false">IFERROR(C17/C10,0)</f>
        <v>0.70037037037037</v>
      </c>
      <c r="D18" s="26" t="n">
        <f aca="false">IFERROR(D17/D10,0)</f>
        <v>0.70037037037037</v>
      </c>
      <c r="E18" s="26" t="n">
        <f aca="false">IFERROR(E17/E10,0)</f>
        <v>0.70037037037037</v>
      </c>
    </row>
    <row r="19" customFormat="false" ht="15" hidden="false" customHeight="false" outlineLevel="0" collapsed="false">
      <c r="B19" s="11" t="s">
        <v>110</v>
      </c>
      <c r="C19" s="26" t="n">
        <f aca="false">IFERROR(C16/C10,0)</f>
        <v>0.29962962962963</v>
      </c>
      <c r="D19" s="26" t="n">
        <f aca="false">IFERROR(D16/D10,0)</f>
        <v>0.29962962962963</v>
      </c>
      <c r="E19" s="26" t="n">
        <f aca="false">IFERROR(E16/E10,0)</f>
        <v>0.29962962962963</v>
      </c>
    </row>
    <row r="21" customFormat="false" ht="19.5" hidden="false" customHeight="true" outlineLevel="0" collapsed="false">
      <c r="B21" s="10" t="s">
        <v>111</v>
      </c>
      <c r="C21" s="10"/>
      <c r="D21" s="10"/>
      <c r="E21" s="10"/>
    </row>
    <row r="22" customFormat="false" ht="15" hidden="false" customHeight="false" outlineLevel="0" collapsed="false">
      <c r="B22" s="11" t="s">
        <v>112</v>
      </c>
      <c r="C22" s="23" t="n">
        <f aca="false">Hypothèses!C32</f>
        <v>150000</v>
      </c>
      <c r="D22" s="23" t="n">
        <f aca="false">C22*(1+Hypothèses!C33)</f>
        <v>156000</v>
      </c>
      <c r="E22" s="23" t="n">
        <f aca="false">D22*(1+Hypothèses!C33)</f>
        <v>162240</v>
      </c>
    </row>
    <row r="23" customFormat="false" ht="15" hidden="false" customHeight="false" outlineLevel="0" collapsed="false">
      <c r="B23" s="11" t="s">
        <v>113</v>
      </c>
      <c r="C23" s="26" t="n">
        <f aca="false">IFERROR(C22/C10,0)</f>
        <v>0.301702810663384</v>
      </c>
      <c r="D23" s="26" t="n">
        <f aca="false">IFERROR(D22/D10,0)</f>
        <v>0.285246293718109</v>
      </c>
      <c r="E23" s="26" t="n">
        <f aca="false">IFERROR(E22/E10,0)</f>
        <v>0.282529662349365</v>
      </c>
    </row>
    <row r="24" customFormat="false" ht="15" hidden="false" customHeight="false" outlineLevel="0" collapsed="false">
      <c r="B24" s="16" t="s">
        <v>114</v>
      </c>
      <c r="C24" s="24" t="n">
        <f aca="false">C16+C22</f>
        <v>298969.26</v>
      </c>
      <c r="D24" s="24" t="n">
        <f aca="false">D16+D22</f>
        <v>319866.186</v>
      </c>
      <c r="E24" s="24" t="n">
        <f aca="false">E16+E22</f>
        <v>334299.4953</v>
      </c>
    </row>
    <row r="25" customFormat="false" ht="15" hidden="false" customHeight="false" outlineLevel="0" collapsed="false">
      <c r="B25" s="16" t="s">
        <v>115</v>
      </c>
      <c r="C25" s="18" t="n">
        <f aca="false">IFERROR(C24/C10,0)</f>
        <v>0.601332440293014</v>
      </c>
      <c r="D25" s="18" t="n">
        <f aca="false">IFERROR(D24/D10,0)</f>
        <v>0.584875923347738</v>
      </c>
      <c r="E25" s="18" t="n">
        <f aca="false">IFERROR(E24/E10,0)</f>
        <v>0.582159291978994</v>
      </c>
    </row>
    <row r="27" customFormat="false" ht="19.5" hidden="false" customHeight="true" outlineLevel="0" collapsed="false">
      <c r="B27" s="10" t="s">
        <v>116</v>
      </c>
      <c r="C27" s="10"/>
      <c r="D27" s="10"/>
      <c r="E27" s="10"/>
    </row>
    <row r="28" customFormat="false" ht="15" hidden="false" customHeight="false" outlineLevel="0" collapsed="false">
      <c r="B28" s="11" t="s">
        <v>117</v>
      </c>
      <c r="C28" s="23" t="n">
        <f aca="false">C6</f>
        <v>147312</v>
      </c>
    </row>
    <row r="29" customFormat="false" ht="15" hidden="false" customHeight="false" outlineLevel="0" collapsed="false">
      <c r="B29" s="11" t="s">
        <v>118</v>
      </c>
      <c r="C29" s="23" t="n">
        <f aca="false">C9*Hypothèses!C20</f>
        <v>32224.5</v>
      </c>
    </row>
    <row r="30" customFormat="false" ht="15" hidden="false" customHeight="false" outlineLevel="0" collapsed="false">
      <c r="B30" s="11" t="s">
        <v>119</v>
      </c>
      <c r="C30" s="23" t="n">
        <f aca="false">C10-C28-C29</f>
        <v>317641.5</v>
      </c>
    </row>
    <row r="31" customFormat="false" ht="15" hidden="false" customHeight="false" outlineLevel="0" collapsed="false">
      <c r="B31" s="16" t="s">
        <v>120</v>
      </c>
      <c r="C31" s="27" t="n">
        <f aca="false">0.055*C28+0.2*C29+0.1*C30</f>
        <v>46311.21</v>
      </c>
    </row>
    <row r="32" customFormat="false" ht="15" hidden="false" customHeight="false" outlineLevel="0" collapsed="false">
      <c r="B32" s="11" t="s">
        <v>121</v>
      </c>
      <c r="C32" s="23" t="n">
        <f aca="false">C10+C31</f>
        <v>543489.21</v>
      </c>
    </row>
  </sheetData>
  <mergeCells count="5">
    <mergeCell ref="B1:E1"/>
    <mergeCell ref="B2:E2"/>
    <mergeCell ref="B12:E12"/>
    <mergeCell ref="B21:E21"/>
    <mergeCell ref="B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122</v>
      </c>
      <c r="C1" s="1"/>
      <c r="D1" s="1"/>
      <c r="E1" s="1"/>
    </row>
    <row r="2" customFormat="false" ht="18" hidden="false" customHeight="true" outlineLevel="0" collapsed="false">
      <c r="B2" s="2" t="s">
        <v>123</v>
      </c>
      <c r="C2" s="2"/>
      <c r="D2" s="2"/>
      <c r="E2" s="2"/>
    </row>
    <row r="3" customFormat="false" ht="18" hidden="false" customHeight="true" outlineLevel="0" collapsed="false">
      <c r="B3" s="20" t="s">
        <v>124</v>
      </c>
      <c r="C3" s="21" t="s">
        <v>93</v>
      </c>
      <c r="D3" s="21" t="s">
        <v>94</v>
      </c>
      <c r="E3" s="21" t="s">
        <v>95</v>
      </c>
    </row>
    <row r="4" customFormat="false" ht="15" hidden="false" customHeight="false" outlineLevel="0" collapsed="false">
      <c r="B4" s="16" t="s">
        <v>125</v>
      </c>
      <c r="C4" s="28" t="n">
        <f aca="false">'CA &amp; Marges'!C10</f>
        <v>497178</v>
      </c>
      <c r="D4" s="28" t="n">
        <f aca="false">'CA &amp; Marges'!D10</f>
        <v>546895.8</v>
      </c>
      <c r="E4" s="28" t="n">
        <f aca="false">'CA &amp; Marges'!E10</f>
        <v>574240.59</v>
      </c>
    </row>
    <row r="5" customFormat="false" ht="15" hidden="false" customHeight="false" outlineLevel="0" collapsed="false">
      <c r="B5" s="11" t="s">
        <v>126</v>
      </c>
      <c r="C5" s="28" t="n">
        <f aca="false">'CA &amp; Marges'!C16</f>
        <v>148969.26</v>
      </c>
      <c r="D5" s="28" t="n">
        <f aca="false">'CA &amp; Marges'!D16</f>
        <v>163866.186</v>
      </c>
      <c r="E5" s="28" t="n">
        <f aca="false">'CA &amp; Marges'!E16</f>
        <v>172059.4953</v>
      </c>
    </row>
    <row r="6" customFormat="false" ht="15" hidden="false" customHeight="false" outlineLevel="0" collapsed="false">
      <c r="B6" s="16" t="s">
        <v>108</v>
      </c>
      <c r="C6" s="24" t="n">
        <f aca="false">C4-C5</f>
        <v>348208.74</v>
      </c>
      <c r="D6" s="24" t="n">
        <f aca="false">D4-D5</f>
        <v>383029.614</v>
      </c>
      <c r="E6" s="24" t="n">
        <f aca="false">E4-E5</f>
        <v>402181.0947</v>
      </c>
    </row>
    <row r="7" customFormat="false" ht="15" hidden="false" customHeight="false" outlineLevel="0" collapsed="false">
      <c r="B7" s="11" t="s">
        <v>112</v>
      </c>
      <c r="C7" s="28" t="n">
        <f aca="false">'CA &amp; Marges'!C22</f>
        <v>150000</v>
      </c>
      <c r="D7" s="28" t="n">
        <f aca="false">'CA &amp; Marges'!D22</f>
        <v>156000</v>
      </c>
      <c r="E7" s="28" t="n">
        <f aca="false">'CA &amp; Marges'!E22</f>
        <v>162240</v>
      </c>
    </row>
    <row r="8" customFormat="false" ht="15" hidden="false" customHeight="false" outlineLevel="0" collapsed="false">
      <c r="B8" s="11" t="s">
        <v>127</v>
      </c>
      <c r="C8" s="23" t="n">
        <f aca="false">Hypothèses!C37</f>
        <v>30000</v>
      </c>
      <c r="D8" s="23" t="n">
        <f aca="false">C8*(1+Hypothèses!C46)</f>
        <v>30900</v>
      </c>
      <c r="E8" s="23" t="n">
        <f aca="false">D8*(1+Hypothèses!C46)</f>
        <v>31827</v>
      </c>
    </row>
    <row r="9" customFormat="false" ht="15" hidden="false" customHeight="false" outlineLevel="0" collapsed="false">
      <c r="B9" s="11" t="s">
        <v>128</v>
      </c>
      <c r="C9" s="23" t="n">
        <f aca="false">Hypothèses!C38</f>
        <v>18000</v>
      </c>
      <c r="D9" s="23" t="n">
        <f aca="false">C9*(1+Hypothèses!C46)</f>
        <v>18540</v>
      </c>
      <c r="E9" s="23" t="n">
        <f aca="false">D9*(1+Hypothèses!C46)</f>
        <v>19096.2</v>
      </c>
    </row>
    <row r="10" customFormat="false" ht="15" hidden="false" customHeight="false" outlineLevel="0" collapsed="false">
      <c r="B10" s="11" t="s">
        <v>60</v>
      </c>
      <c r="C10" s="23" t="n">
        <f aca="false">Hypothèses!C39</f>
        <v>6000</v>
      </c>
      <c r="D10" s="23" t="n">
        <f aca="false">C10*(1+Hypothèses!C46)</f>
        <v>6180</v>
      </c>
      <c r="E10" s="23" t="n">
        <f aca="false">D10*(1+Hypothèses!C46)</f>
        <v>6365.4</v>
      </c>
    </row>
    <row r="11" customFormat="false" ht="15" hidden="false" customHeight="false" outlineLevel="0" collapsed="false">
      <c r="B11" s="11" t="s">
        <v>129</v>
      </c>
      <c r="C11" s="23" t="n">
        <f aca="false">'CA &amp; Marges'!C7*Hypothèses!C40</f>
        <v>25779.6</v>
      </c>
      <c r="D11" s="23" t="n">
        <f aca="false">'CA &amp; Marges'!D7*Hypothèses!C40</f>
        <v>28357.56</v>
      </c>
      <c r="E11" s="23" t="n">
        <f aca="false">'CA &amp; Marges'!E7*Hypothèses!C40</f>
        <v>29775.438</v>
      </c>
    </row>
    <row r="12" customFormat="false" ht="15" hidden="false" customHeight="false" outlineLevel="0" collapsed="false">
      <c r="B12" s="11" t="s">
        <v>63</v>
      </c>
      <c r="C12" s="23" t="n">
        <f aca="false">Hypothèses!C41</f>
        <v>4000</v>
      </c>
      <c r="D12" s="23" t="n">
        <f aca="false">C12*(1+Hypothèses!C46)</f>
        <v>4120</v>
      </c>
      <c r="E12" s="23" t="n">
        <f aca="false">D12*(1+Hypothèses!C46)</f>
        <v>4243.6</v>
      </c>
    </row>
    <row r="13" customFormat="false" ht="15" hidden="false" customHeight="false" outlineLevel="0" collapsed="false">
      <c r="B13" s="11" t="s">
        <v>130</v>
      </c>
      <c r="C13" s="23" t="n">
        <f aca="false">Hypothèses!C42</f>
        <v>5000</v>
      </c>
      <c r="D13" s="23" t="n">
        <f aca="false">C13*(1+Hypothèses!C46)</f>
        <v>5150</v>
      </c>
      <c r="E13" s="23" t="n">
        <f aca="false">D13*(1+Hypothèses!C46)</f>
        <v>5304.5</v>
      </c>
    </row>
    <row r="14" customFormat="false" ht="15" hidden="false" customHeight="false" outlineLevel="0" collapsed="false">
      <c r="B14" s="11" t="s">
        <v>65</v>
      </c>
      <c r="C14" s="23" t="n">
        <f aca="false">Hypothèses!C43</f>
        <v>7000</v>
      </c>
      <c r="D14" s="23" t="n">
        <f aca="false">C14*(1+Hypothèses!C46)</f>
        <v>7210</v>
      </c>
      <c r="E14" s="23" t="n">
        <f aca="false">D14*(1+Hypothèses!C46)</f>
        <v>7426.3</v>
      </c>
    </row>
    <row r="15" customFormat="false" ht="15" hidden="false" customHeight="false" outlineLevel="0" collapsed="false">
      <c r="B15" s="11" t="s">
        <v>131</v>
      </c>
      <c r="C15" s="23" t="n">
        <f aca="false">Hypothèses!C44</f>
        <v>4000</v>
      </c>
      <c r="D15" s="23" t="n">
        <f aca="false">C15*(1+Hypothèses!C46)</f>
        <v>4120</v>
      </c>
      <c r="E15" s="23" t="n">
        <f aca="false">D15*(1+Hypothèses!C46)</f>
        <v>4243.6</v>
      </c>
    </row>
    <row r="16" customFormat="false" ht="15" hidden="false" customHeight="false" outlineLevel="0" collapsed="false">
      <c r="B16" s="11" t="s">
        <v>67</v>
      </c>
      <c r="C16" s="23" t="n">
        <f aca="false">Hypothèses!C45</f>
        <v>4000</v>
      </c>
      <c r="D16" s="23" t="n">
        <f aca="false">C16*(1+Hypothèses!C46)</f>
        <v>4120</v>
      </c>
      <c r="E16" s="23" t="n">
        <f aca="false">D16*(1+Hypothèses!C46)</f>
        <v>4243.6</v>
      </c>
    </row>
    <row r="17" customFormat="false" ht="15" hidden="false" customHeight="false" outlineLevel="0" collapsed="false">
      <c r="B17" s="16" t="s">
        <v>132</v>
      </c>
      <c r="C17" s="29" t="n">
        <f aca="false">SUM(C8:C16)</f>
        <v>103779.6</v>
      </c>
      <c r="D17" s="29" t="n">
        <f aca="false">SUM(D8:D16)</f>
        <v>108697.56</v>
      </c>
      <c r="E17" s="29" t="n">
        <f aca="false">SUM(E8:E16)</f>
        <v>112525.638</v>
      </c>
    </row>
    <row r="18" customFormat="false" ht="15" hidden="false" customHeight="false" outlineLevel="0" collapsed="false">
      <c r="B18" s="11" t="s">
        <v>133</v>
      </c>
      <c r="C18" s="23" t="n">
        <f aca="false">Hypothèses!C49</f>
        <v>3000</v>
      </c>
      <c r="D18" s="23" t="n">
        <f aca="false">C18*(1+Hypothèses!C46)</f>
        <v>3090</v>
      </c>
      <c r="E18" s="23" t="n">
        <f aca="false">D18*(1+Hypothèses!C46)</f>
        <v>3182.7</v>
      </c>
    </row>
    <row r="19" customFormat="false" ht="15" hidden="false" customHeight="false" outlineLevel="0" collapsed="false">
      <c r="B19" s="16" t="s">
        <v>134</v>
      </c>
      <c r="C19" s="25" t="n">
        <f aca="false">C6-C7-C17-C18</f>
        <v>91429.14</v>
      </c>
      <c r="D19" s="25" t="n">
        <f aca="false">D6-D7-D17-D18</f>
        <v>115242.054</v>
      </c>
      <c r="E19" s="25" t="n">
        <f aca="false">E6-E7-E17-E18</f>
        <v>124232.7567</v>
      </c>
    </row>
    <row r="20" customFormat="false" ht="15" hidden="false" customHeight="false" outlineLevel="0" collapsed="false">
      <c r="B20" s="11" t="s">
        <v>135</v>
      </c>
      <c r="C20" s="26" t="n">
        <f aca="false">IFERROR(C19/C4,0)</f>
        <v>0.183896190096907</v>
      </c>
      <c r="D20" s="26" t="n">
        <f aca="false">IFERROR(D19/D4,0)</f>
        <v>0.210720312717706</v>
      </c>
      <c r="E20" s="26" t="n">
        <f aca="false">IFERROR(E19/E4,0)</f>
        <v>0.216342694792787</v>
      </c>
    </row>
    <row r="21" customFormat="false" ht="15" hidden="false" customHeight="false" outlineLevel="0" collapsed="false">
      <c r="B21" s="11" t="s">
        <v>136</v>
      </c>
      <c r="C21" s="23" t="n">
        <f aca="false">IFERROR((Hypothèses!C56+Hypothèses!C57+Hypothèses!C58)/Hypothèses!C52,0)</f>
        <v>14285.7142857143</v>
      </c>
      <c r="D21" s="23" t="n">
        <f aca="false">IFERROR((Hypothèses!C56+Hypothèses!C57+Hypothèses!C58)/Hypothèses!C52,0)</f>
        <v>14285.7142857143</v>
      </c>
      <c r="E21" s="23" t="n">
        <f aca="false">IFERROR((Hypothèses!C56+Hypothèses!C57+Hypothèses!C58)/Hypothèses!C52,0)</f>
        <v>14285.7142857143</v>
      </c>
    </row>
    <row r="22" customFormat="false" ht="15" hidden="false" customHeight="false" outlineLevel="0" collapsed="false">
      <c r="B22" s="16" t="s">
        <v>137</v>
      </c>
      <c r="C22" s="24" t="n">
        <f aca="false">C19-C21</f>
        <v>77143.4257142857</v>
      </c>
      <c r="D22" s="24" t="n">
        <f aca="false">D19-D21</f>
        <v>100956.339714286</v>
      </c>
      <c r="E22" s="24" t="n">
        <f aca="false">E19-E21</f>
        <v>109947.042414286</v>
      </c>
    </row>
    <row r="23" customFormat="false" ht="15" hidden="false" customHeight="false" outlineLevel="0" collapsed="false">
      <c r="B23" s="11" t="s">
        <v>138</v>
      </c>
      <c r="C23" s="28" t="n">
        <f aca="false">'Plan de financement'!D28</f>
        <v>7650</v>
      </c>
      <c r="D23" s="28" t="n">
        <f aca="false">'Plan de financement'!D29</f>
        <v>6696.03376988976</v>
      </c>
      <c r="E23" s="28" t="n">
        <f aca="false">'Plan de financement'!D30</f>
        <v>5699.13905942456</v>
      </c>
    </row>
    <row r="24" customFormat="false" ht="15" hidden="false" customHeight="false" outlineLevel="0" collapsed="false">
      <c r="B24" s="16" t="s">
        <v>139</v>
      </c>
      <c r="C24" s="24" t="n">
        <f aca="false">C22-C23</f>
        <v>69493.4257142857</v>
      </c>
      <c r="D24" s="24" t="n">
        <f aca="false">D22-D23</f>
        <v>94260.305944396</v>
      </c>
      <c r="E24" s="24" t="n">
        <f aca="false">E22-E23</f>
        <v>104247.903354861</v>
      </c>
    </row>
    <row r="25" customFormat="false" ht="15" hidden="false" customHeight="false" outlineLevel="0" collapsed="false">
      <c r="B25" s="11" t="s">
        <v>140</v>
      </c>
      <c r="C25" s="23" t="n">
        <f aca="false">IF(C24&lt;=0,0,0.15*MIN(C24,42500)+0.25*MAX(C24-42500,0))</f>
        <v>13123.3564285714</v>
      </c>
      <c r="D25" s="23" t="n">
        <f aca="false">IF(D24&lt;=0,0,0.15*MIN(D24,42500)+0.25*MAX(D24-42500,0))</f>
        <v>19315.076486099</v>
      </c>
      <c r="E25" s="23" t="n">
        <f aca="false">IF(E24&lt;=0,0,0.15*MIN(E24,42500)+0.25*MAX(E24-42500,0))</f>
        <v>21811.9758387153</v>
      </c>
    </row>
    <row r="26" customFormat="false" ht="15" hidden="false" customHeight="false" outlineLevel="0" collapsed="false">
      <c r="B26" s="16" t="s">
        <v>141</v>
      </c>
      <c r="C26" s="25" t="n">
        <f aca="false">C24-C25</f>
        <v>56370.0692857143</v>
      </c>
      <c r="D26" s="25" t="n">
        <f aca="false">D24-D25</f>
        <v>74945.229458297</v>
      </c>
      <c r="E26" s="25" t="n">
        <f aca="false">E24-E25</f>
        <v>82435.9275161459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G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3" min="3" style="0" width="16"/>
    <col collapsed="false" customWidth="true" hidden="false" outlineLevel="0" max="4" min="4" style="0" width="15"/>
    <col collapsed="false" customWidth="true" hidden="false" outlineLevel="0" max="5" min="5" style="0" width="16"/>
    <col collapsed="false" customWidth="true" hidden="false" outlineLevel="0" max="6" min="6" style="0" width="15"/>
    <col collapsed="false" customWidth="true" hidden="false" outlineLevel="0" max="7" min="7" style="0" width="16"/>
  </cols>
  <sheetData>
    <row r="1" customFormat="false" ht="33.75" hidden="false" customHeight="true" outlineLevel="0" collapsed="false">
      <c r="B1" s="1" t="s">
        <v>142</v>
      </c>
      <c r="C1" s="1"/>
      <c r="D1" s="1"/>
      <c r="E1" s="1"/>
      <c r="F1" s="1"/>
      <c r="G1" s="1"/>
    </row>
    <row r="2" customFormat="false" ht="18" hidden="false" customHeight="true" outlineLevel="0" collapsed="false">
      <c r="B2" s="2" t="s">
        <v>143</v>
      </c>
      <c r="C2" s="2"/>
      <c r="D2" s="2"/>
      <c r="E2" s="2"/>
      <c r="F2" s="2"/>
      <c r="G2" s="2"/>
    </row>
    <row r="3" customFormat="false" ht="19.5" hidden="false" customHeight="true" outlineLevel="0" collapsed="false">
      <c r="B3" s="30" t="s">
        <v>144</v>
      </c>
      <c r="C3" s="21" t="s">
        <v>145</v>
      </c>
    </row>
    <row r="4" customFormat="false" ht="15" hidden="false" customHeight="false" outlineLevel="0" collapsed="false">
      <c r="B4" s="11" t="s">
        <v>75</v>
      </c>
      <c r="C4" s="23" t="n">
        <f aca="false">Hypothèses!C55</f>
        <v>80000</v>
      </c>
    </row>
    <row r="5" customFormat="false" ht="15" hidden="false" customHeight="false" outlineLevel="0" collapsed="false">
      <c r="B5" s="11" t="s">
        <v>77</v>
      </c>
      <c r="C5" s="23" t="n">
        <f aca="false">Hypothèses!C56</f>
        <v>25000</v>
      </c>
    </row>
    <row r="6" customFormat="false" ht="15" hidden="false" customHeight="false" outlineLevel="0" collapsed="false">
      <c r="B6" s="11" t="s">
        <v>78</v>
      </c>
      <c r="C6" s="23" t="n">
        <f aca="false">Hypothèses!C57</f>
        <v>45000</v>
      </c>
    </row>
    <row r="7" customFormat="false" ht="15" hidden="false" customHeight="false" outlineLevel="0" collapsed="false">
      <c r="B7" s="11" t="s">
        <v>146</v>
      </c>
      <c r="C7" s="23" t="n">
        <f aca="false">Hypothèses!C58</f>
        <v>30000</v>
      </c>
    </row>
    <row r="8" customFormat="false" ht="15" hidden="false" customHeight="false" outlineLevel="0" collapsed="false">
      <c r="B8" s="11" t="s">
        <v>80</v>
      </c>
      <c r="C8" s="23" t="n">
        <f aca="false">Hypothèses!C59</f>
        <v>7000</v>
      </c>
    </row>
    <row r="9" customFormat="false" ht="15" hidden="false" customHeight="false" outlineLevel="0" collapsed="false">
      <c r="B9" s="11" t="s">
        <v>81</v>
      </c>
      <c r="C9" s="23" t="n">
        <f aca="false">Hypothèses!C60</f>
        <v>3000</v>
      </c>
    </row>
    <row r="10" customFormat="false" ht="15" hidden="false" customHeight="false" outlineLevel="0" collapsed="false">
      <c r="B10" s="11" t="s">
        <v>82</v>
      </c>
      <c r="C10" s="23" t="n">
        <f aca="false">Hypothèses!C61</f>
        <v>8000</v>
      </c>
    </row>
    <row r="11" customFormat="false" ht="15" hidden="false" customHeight="false" outlineLevel="0" collapsed="false">
      <c r="B11" s="11" t="s">
        <v>147</v>
      </c>
      <c r="C11" s="23" t="n">
        <f aca="false">Hypothèses!C62</f>
        <v>9000</v>
      </c>
    </row>
    <row r="12" customFormat="false" ht="15" hidden="false" customHeight="false" outlineLevel="0" collapsed="false">
      <c r="B12" s="11" t="s">
        <v>148</v>
      </c>
      <c r="C12" s="23" t="n">
        <f aca="false">Hypothèses!C63</f>
        <v>25000</v>
      </c>
    </row>
    <row r="13" customFormat="false" ht="15" hidden="false" customHeight="false" outlineLevel="0" collapsed="false">
      <c r="B13" s="16" t="s">
        <v>149</v>
      </c>
      <c r="C13" s="25" t="n">
        <f aca="false">SUM(C4:C12)</f>
        <v>232000</v>
      </c>
    </row>
    <row r="15" customFormat="false" ht="19.5" hidden="false" customHeight="true" outlineLevel="0" collapsed="false">
      <c r="B15" s="30" t="s">
        <v>150</v>
      </c>
      <c r="C15" s="31"/>
    </row>
    <row r="16" customFormat="false" ht="15" hidden="false" customHeight="false" outlineLevel="0" collapsed="false">
      <c r="B16" s="11" t="s">
        <v>86</v>
      </c>
      <c r="C16" s="23" t="n">
        <f aca="false">Hypothèses!C66</f>
        <v>70000</v>
      </c>
    </row>
    <row r="17" customFormat="false" ht="15" hidden="false" customHeight="false" outlineLevel="0" collapsed="false">
      <c r="B17" s="11" t="s">
        <v>151</v>
      </c>
      <c r="C17" s="23" t="n">
        <f aca="false">Hypothèses!C67</f>
        <v>170000</v>
      </c>
    </row>
    <row r="18" customFormat="false" ht="15" hidden="false" customHeight="false" outlineLevel="0" collapsed="false">
      <c r="B18" s="16" t="s">
        <v>152</v>
      </c>
      <c r="C18" s="25" t="n">
        <f aca="false">SUM(C16:C17)</f>
        <v>240000</v>
      </c>
    </row>
    <row r="19" customFormat="false" ht="15" hidden="false" customHeight="false" outlineLevel="0" collapsed="false">
      <c r="B19" s="16" t="s">
        <v>153</v>
      </c>
      <c r="C19" s="24" t="n">
        <f aca="false">C18-C13</f>
        <v>8000</v>
      </c>
    </row>
    <row r="21" customFormat="false" ht="19.5" hidden="false" customHeight="true" outlineLevel="0" collapsed="false">
      <c r="B21" s="10" t="s">
        <v>154</v>
      </c>
      <c r="C21" s="10"/>
      <c r="D21" s="10"/>
      <c r="E21" s="10"/>
      <c r="F21" s="10"/>
      <c r="G21" s="10"/>
    </row>
    <row r="22" customFormat="false" ht="15" hidden="false" customHeight="false" outlineLevel="0" collapsed="false">
      <c r="B22" s="11" t="s">
        <v>155</v>
      </c>
      <c r="C22" s="23" t="n">
        <f aca="false">Hypothèses!C67</f>
        <v>170000</v>
      </c>
    </row>
    <row r="23" customFormat="false" ht="15" hidden="false" customHeight="false" outlineLevel="0" collapsed="false">
      <c r="B23" s="11" t="s">
        <v>88</v>
      </c>
      <c r="C23" s="26" t="n">
        <f aca="false">Hypothèses!C68</f>
        <v>0.045</v>
      </c>
    </row>
    <row r="24" customFormat="false" ht="15" hidden="false" customHeight="false" outlineLevel="0" collapsed="false">
      <c r="B24" s="11" t="s">
        <v>156</v>
      </c>
      <c r="C24" s="22" t="n">
        <f aca="false">Hypothèses!C69</f>
        <v>7</v>
      </c>
    </row>
    <row r="25" customFormat="false" ht="15" hidden="false" customHeight="false" outlineLevel="0" collapsed="false">
      <c r="B25" s="16" t="s">
        <v>157</v>
      </c>
      <c r="C25" s="27" t="n">
        <f aca="false">IF(C24=0,0,IF(C23=0,C22/C24,C22*C23/(1-(1+C23)^(-C24))))</f>
        <v>28849.2495580053</v>
      </c>
    </row>
    <row r="27" customFormat="false" ht="27.75" hidden="false" customHeight="true" outlineLevel="0" collapsed="false">
      <c r="B27" s="21" t="s">
        <v>158</v>
      </c>
      <c r="C27" s="21" t="s">
        <v>159</v>
      </c>
      <c r="D27" s="21" t="s">
        <v>160</v>
      </c>
      <c r="E27" s="21" t="s">
        <v>161</v>
      </c>
      <c r="F27" s="21" t="s">
        <v>162</v>
      </c>
      <c r="G27" s="21" t="s">
        <v>163</v>
      </c>
    </row>
    <row r="28" customFormat="false" ht="15" hidden="false" customHeight="false" outlineLevel="0" collapsed="false">
      <c r="B28" s="32" t="n">
        <v>1</v>
      </c>
      <c r="C28" s="23" t="n">
        <f aca="false">C22</f>
        <v>170000</v>
      </c>
      <c r="D28" s="23" t="n">
        <f aca="false">IF(B28&lt;=$C$24,C28*$C$23,0)</f>
        <v>7650</v>
      </c>
      <c r="E28" s="23" t="n">
        <f aca="false">IF(B28&lt;=$C$24,$C$25-D28,0)</f>
        <v>21199.2495580053</v>
      </c>
      <c r="F28" s="23" t="n">
        <f aca="false">IF(B28&lt;=$C$24,$C$25,0)</f>
        <v>28849.2495580053</v>
      </c>
      <c r="G28" s="23" t="n">
        <f aca="false">C28-E28</f>
        <v>148800.750441995</v>
      </c>
    </row>
    <row r="29" customFormat="false" ht="15" hidden="false" customHeight="false" outlineLevel="0" collapsed="false">
      <c r="B29" s="32" t="n">
        <v>2</v>
      </c>
      <c r="C29" s="23" t="n">
        <f aca="false">G28</f>
        <v>148800.750441995</v>
      </c>
      <c r="D29" s="23" t="n">
        <f aca="false">IF(B29&lt;=$C$24,C29*$C$23,0)</f>
        <v>6696.03376988976</v>
      </c>
      <c r="E29" s="23" t="n">
        <f aca="false">IF(B29&lt;=$C$24,$C$25-D29,0)</f>
        <v>22153.2157881156</v>
      </c>
      <c r="F29" s="23" t="n">
        <f aca="false">IF(B29&lt;=$C$24,$C$25,0)</f>
        <v>28849.2495580053</v>
      </c>
      <c r="G29" s="23" t="n">
        <f aca="false">C29-E29</f>
        <v>126647.534653879</v>
      </c>
    </row>
    <row r="30" customFormat="false" ht="15" hidden="false" customHeight="false" outlineLevel="0" collapsed="false">
      <c r="B30" s="32" t="n">
        <v>3</v>
      </c>
      <c r="C30" s="23" t="n">
        <f aca="false">G29</f>
        <v>126647.534653879</v>
      </c>
      <c r="D30" s="23" t="n">
        <f aca="false">IF(B30&lt;=$C$24,C30*$C$23,0)</f>
        <v>5699.13905942456</v>
      </c>
      <c r="E30" s="23" t="n">
        <f aca="false">IF(B30&lt;=$C$24,$C$25-D30,0)</f>
        <v>23150.1104985808</v>
      </c>
      <c r="F30" s="23" t="n">
        <f aca="false">IF(B30&lt;=$C$24,$C$25,0)</f>
        <v>28849.2495580053</v>
      </c>
      <c r="G30" s="23" t="n">
        <f aca="false">C30-E30</f>
        <v>103497.424155298</v>
      </c>
    </row>
    <row r="31" customFormat="false" ht="15" hidden="false" customHeight="false" outlineLevel="0" collapsed="false">
      <c r="B31" s="32" t="n">
        <v>4</v>
      </c>
      <c r="C31" s="23" t="n">
        <f aca="false">G30</f>
        <v>103497.424155298</v>
      </c>
      <c r="D31" s="23" t="n">
        <f aca="false">IF(B31&lt;=$C$24,C31*$C$23,0)</f>
        <v>4657.38408698842</v>
      </c>
      <c r="E31" s="23" t="n">
        <f aca="false">IF(B31&lt;=$C$24,$C$25-D31,0)</f>
        <v>24191.8654710169</v>
      </c>
      <c r="F31" s="23" t="n">
        <f aca="false">IF(B31&lt;=$C$24,$C$25,0)</f>
        <v>28849.2495580053</v>
      </c>
      <c r="G31" s="23" t="n">
        <f aca="false">C31-E31</f>
        <v>79305.5586842814</v>
      </c>
    </row>
    <row r="32" customFormat="false" ht="15" hidden="false" customHeight="false" outlineLevel="0" collapsed="false">
      <c r="B32" s="32" t="n">
        <v>5</v>
      </c>
      <c r="C32" s="23" t="n">
        <f aca="false">G31</f>
        <v>79305.5586842814</v>
      </c>
      <c r="D32" s="23" t="n">
        <f aca="false">IF(B32&lt;=$C$24,C32*$C$23,0)</f>
        <v>3568.75014079266</v>
      </c>
      <c r="E32" s="23" t="n">
        <f aca="false">IF(B32&lt;=$C$24,$C$25-D32,0)</f>
        <v>25280.4994172127</v>
      </c>
      <c r="F32" s="23" t="n">
        <f aca="false">IF(B32&lt;=$C$24,$C$25,0)</f>
        <v>28849.2495580053</v>
      </c>
      <c r="G32" s="23" t="n">
        <f aca="false">C32-E32</f>
        <v>54025.0592670687</v>
      </c>
    </row>
    <row r="33" customFormat="false" ht="15" hidden="false" customHeight="false" outlineLevel="0" collapsed="false">
      <c r="B33" s="32" t="n">
        <v>6</v>
      </c>
      <c r="C33" s="23" t="n">
        <f aca="false">G32</f>
        <v>54025.0592670687</v>
      </c>
      <c r="D33" s="23" t="n">
        <f aca="false">IF(B33&lt;=$C$24,C33*$C$23,0)</f>
        <v>2431.12766701809</v>
      </c>
      <c r="E33" s="23" t="n">
        <f aca="false">IF(B33&lt;=$C$24,$C$25-D33,0)</f>
        <v>26418.1218909873</v>
      </c>
      <c r="F33" s="23" t="n">
        <f aca="false">IF(B33&lt;=$C$24,$C$25,0)</f>
        <v>28849.2495580053</v>
      </c>
      <c r="G33" s="23" t="n">
        <f aca="false">C33-E33</f>
        <v>27606.9373760814</v>
      </c>
    </row>
    <row r="34" customFormat="false" ht="15" hidden="false" customHeight="false" outlineLevel="0" collapsed="false">
      <c r="B34" s="32" t="n">
        <v>7</v>
      </c>
      <c r="C34" s="23" t="n">
        <f aca="false">G33</f>
        <v>27606.9373760814</v>
      </c>
      <c r="D34" s="23" t="n">
        <f aca="false">IF(B34&lt;=$C$24,C34*$C$23,0)</f>
        <v>1242.31218192366</v>
      </c>
      <c r="E34" s="23" t="n">
        <f aca="false">IF(B34&lt;=$C$24,$C$25-D34,0)</f>
        <v>27606.9373760817</v>
      </c>
      <c r="F34" s="23" t="n">
        <f aca="false">IF(B34&lt;=$C$24,$C$25,0)</f>
        <v>28849.2495580053</v>
      </c>
      <c r="G34" s="23" t="n">
        <f aca="false">C34-E34</f>
        <v>-2.69210431724787E-010</v>
      </c>
    </row>
    <row r="35" customFormat="false" ht="15" hidden="false" customHeight="false" outlineLevel="0" collapsed="false">
      <c r="B35" s="32" t="n">
        <v>8</v>
      </c>
      <c r="C35" s="23" t="n">
        <f aca="false">G34</f>
        <v>-2.69210431724787E-010</v>
      </c>
      <c r="D35" s="23" t="n">
        <f aca="false">IF(B35&lt;=$C$24,C35*$C$23,0)</f>
        <v>0</v>
      </c>
      <c r="E35" s="23" t="n">
        <f aca="false">IF(B35&lt;=$C$24,$C$25-D35,0)</f>
        <v>0</v>
      </c>
      <c r="F35" s="23" t="n">
        <f aca="false">IF(B35&lt;=$C$24,$C$25,0)</f>
        <v>0</v>
      </c>
      <c r="G35" s="23" t="n">
        <f aca="false">C35-E35</f>
        <v>-2.69210431724787E-010</v>
      </c>
    </row>
    <row r="36" customFormat="false" ht="15" hidden="false" customHeight="false" outlineLevel="0" collapsed="false">
      <c r="B36" s="32" t="n">
        <v>9</v>
      </c>
      <c r="C36" s="23" t="n">
        <f aca="false">G35</f>
        <v>-2.69210431724787E-010</v>
      </c>
      <c r="D36" s="23" t="n">
        <f aca="false">IF(B36&lt;=$C$24,C36*$C$23,0)</f>
        <v>0</v>
      </c>
      <c r="E36" s="23" t="n">
        <f aca="false">IF(B36&lt;=$C$24,$C$25-D36,0)</f>
        <v>0</v>
      </c>
      <c r="F36" s="23" t="n">
        <f aca="false">IF(B36&lt;=$C$24,$C$25,0)</f>
        <v>0</v>
      </c>
      <c r="G36" s="23" t="n">
        <f aca="false">C36-E36</f>
        <v>-2.69210431724787E-010</v>
      </c>
    </row>
    <row r="37" customFormat="false" ht="15" hidden="false" customHeight="false" outlineLevel="0" collapsed="false">
      <c r="B37" s="32" t="n">
        <v>10</v>
      </c>
      <c r="C37" s="23" t="n">
        <f aca="false">G36</f>
        <v>-2.69210431724787E-010</v>
      </c>
      <c r="D37" s="23" t="n">
        <f aca="false">IF(B37&lt;=$C$24,C37*$C$23,0)</f>
        <v>0</v>
      </c>
      <c r="E37" s="23" t="n">
        <f aca="false">IF(B37&lt;=$C$24,$C$25-D37,0)</f>
        <v>0</v>
      </c>
      <c r="F37" s="23" t="n">
        <f aca="false">IF(B37&lt;=$C$24,$C$25,0)</f>
        <v>0</v>
      </c>
      <c r="G37" s="23" t="n">
        <f aca="false">C37-E37</f>
        <v>-2.69210431724787E-010</v>
      </c>
    </row>
  </sheetData>
  <mergeCells count="3">
    <mergeCell ref="B1:G1"/>
    <mergeCell ref="B2:G2"/>
    <mergeCell ref="B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O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4" min="3" style="0" width="10"/>
    <col collapsed="false" customWidth="true" hidden="false" outlineLevel="0" max="15" min="15" style="0" width="13"/>
  </cols>
  <sheetData>
    <row r="1" customFormat="false" ht="33.75" hidden="false" customHeight="true" outlineLevel="0" collapsed="false">
      <c r="B1" s="1" t="s">
        <v>164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B2" s="2" t="s">
        <v>165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B3" s="20" t="s">
        <v>166</v>
      </c>
      <c r="C3" s="21" t="s">
        <v>167</v>
      </c>
      <c r="D3" s="21" t="s">
        <v>168</v>
      </c>
      <c r="E3" s="21" t="s">
        <v>169</v>
      </c>
      <c r="F3" s="21" t="s">
        <v>170</v>
      </c>
      <c r="G3" s="21" t="s">
        <v>171</v>
      </c>
      <c r="H3" s="21" t="s">
        <v>172</v>
      </c>
      <c r="I3" s="21" t="s">
        <v>173</v>
      </c>
      <c r="J3" s="21" t="s">
        <v>174</v>
      </c>
      <c r="K3" s="21" t="s">
        <v>175</v>
      </c>
      <c r="L3" s="21" t="s">
        <v>176</v>
      </c>
      <c r="M3" s="21" t="s">
        <v>177</v>
      </c>
      <c r="N3" s="21" t="s">
        <v>178</v>
      </c>
      <c r="O3" s="21" t="s">
        <v>179</v>
      </c>
    </row>
    <row r="4" customFormat="false" ht="15" hidden="false" customHeight="false" outlineLevel="0" collapsed="false">
      <c r="B4" s="11" t="s">
        <v>180</v>
      </c>
      <c r="C4" s="15" t="n">
        <v>0.07</v>
      </c>
      <c r="D4" s="15" t="n">
        <v>0.07</v>
      </c>
      <c r="E4" s="15" t="n">
        <v>0.08</v>
      </c>
      <c r="F4" s="15" t="n">
        <v>0.08</v>
      </c>
      <c r="G4" s="15" t="n">
        <v>0.09</v>
      </c>
      <c r="H4" s="15" t="n">
        <v>0.09</v>
      </c>
      <c r="I4" s="15" t="n">
        <v>0.08</v>
      </c>
      <c r="J4" s="15" t="n">
        <v>0.06</v>
      </c>
      <c r="K4" s="15" t="n">
        <v>0.09</v>
      </c>
      <c r="L4" s="15" t="n">
        <v>0.09</v>
      </c>
      <c r="M4" s="15" t="n">
        <v>0.08</v>
      </c>
      <c r="N4" s="15" t="n">
        <v>0.12</v>
      </c>
      <c r="O4" s="18" t="n">
        <f aca="false">SUM(C4:N4)</f>
        <v>1</v>
      </c>
    </row>
    <row r="5" customFormat="false" ht="15" hidden="false" customHeight="false" outlineLevel="0" collapsed="false">
      <c r="B5" s="16" t="s">
        <v>181</v>
      </c>
      <c r="C5" s="24" t="n">
        <f aca="false">'CA &amp; Marges'!$C$10*C4</f>
        <v>34802.46</v>
      </c>
      <c r="D5" s="24" t="n">
        <f aca="false">'CA &amp; Marges'!$C$10*D4</f>
        <v>34802.46</v>
      </c>
      <c r="E5" s="24" t="n">
        <f aca="false">'CA &amp; Marges'!$C$10*E4</f>
        <v>39774.24</v>
      </c>
      <c r="F5" s="24" t="n">
        <f aca="false">'CA &amp; Marges'!$C$10*F4</f>
        <v>39774.24</v>
      </c>
      <c r="G5" s="24" t="n">
        <f aca="false">'CA &amp; Marges'!$C$10*G4</f>
        <v>44746.02</v>
      </c>
      <c r="H5" s="24" t="n">
        <f aca="false">'CA &amp; Marges'!$C$10*H4</f>
        <v>44746.02</v>
      </c>
      <c r="I5" s="24" t="n">
        <f aca="false">'CA &amp; Marges'!$C$10*I4</f>
        <v>39774.24</v>
      </c>
      <c r="J5" s="24" t="n">
        <f aca="false">'CA &amp; Marges'!$C$10*J4</f>
        <v>29830.68</v>
      </c>
      <c r="K5" s="24" t="n">
        <f aca="false">'CA &amp; Marges'!$C$10*K4</f>
        <v>44746.02</v>
      </c>
      <c r="L5" s="24" t="n">
        <f aca="false">'CA &amp; Marges'!$C$10*L4</f>
        <v>44746.02</v>
      </c>
      <c r="M5" s="24" t="n">
        <f aca="false">'CA &amp; Marges'!$C$10*M4</f>
        <v>39774.24</v>
      </c>
      <c r="N5" s="24" t="n">
        <f aca="false">'CA &amp; Marges'!$C$10*N4</f>
        <v>59661.36</v>
      </c>
      <c r="O5" s="24" t="n">
        <f aca="false">SUM(C5:N5)</f>
        <v>497178</v>
      </c>
    </row>
    <row r="6" customFormat="false" ht="19.5" hidden="false" customHeight="true" outlineLevel="0" collapsed="false">
      <c r="B6" s="10" t="s">
        <v>182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customFormat="false" ht="15" hidden="false" customHeight="false" outlineLevel="0" collapsed="false">
      <c r="B7" s="11" t="s">
        <v>183</v>
      </c>
      <c r="C7" s="23" t="n">
        <f aca="false">'CA &amp; Marges'!$C$16*C4</f>
        <v>10427.8482</v>
      </c>
      <c r="D7" s="23" t="n">
        <f aca="false">'CA &amp; Marges'!$C$16*D4</f>
        <v>10427.8482</v>
      </c>
      <c r="E7" s="23" t="n">
        <f aca="false">'CA &amp; Marges'!$C$16*E4</f>
        <v>11917.5408</v>
      </c>
      <c r="F7" s="23" t="n">
        <f aca="false">'CA &amp; Marges'!$C$16*F4</f>
        <v>11917.5408</v>
      </c>
      <c r="G7" s="23" t="n">
        <f aca="false">'CA &amp; Marges'!$C$16*G4</f>
        <v>13407.2334</v>
      </c>
      <c r="H7" s="23" t="n">
        <f aca="false">'CA &amp; Marges'!$C$16*H4</f>
        <v>13407.2334</v>
      </c>
      <c r="I7" s="23" t="n">
        <f aca="false">'CA &amp; Marges'!$C$16*I4</f>
        <v>11917.5408</v>
      </c>
      <c r="J7" s="23" t="n">
        <f aca="false">'CA &amp; Marges'!$C$16*J4</f>
        <v>8938.1556</v>
      </c>
      <c r="K7" s="23" t="n">
        <f aca="false">'CA &amp; Marges'!$C$16*K4</f>
        <v>13407.2334</v>
      </c>
      <c r="L7" s="23" t="n">
        <f aca="false">'CA &amp; Marges'!$C$16*L4</f>
        <v>13407.2334</v>
      </c>
      <c r="M7" s="23" t="n">
        <f aca="false">'CA &amp; Marges'!$C$16*M4</f>
        <v>11917.5408</v>
      </c>
      <c r="N7" s="23" t="n">
        <f aca="false">'CA &amp; Marges'!$C$16*N4</f>
        <v>17876.3112</v>
      </c>
      <c r="O7" s="23" t="n">
        <f aca="false">SUM(C7:N7)</f>
        <v>148969.26</v>
      </c>
    </row>
    <row r="8" customFormat="false" ht="15" hidden="false" customHeight="false" outlineLevel="0" collapsed="false">
      <c r="B8" s="11" t="s">
        <v>184</v>
      </c>
      <c r="C8" s="23" t="n">
        <f aca="false">'Compte de résultat'!$C$11*C4</f>
        <v>1804.572</v>
      </c>
      <c r="D8" s="23" t="n">
        <f aca="false">'Compte de résultat'!$C$11*D4</f>
        <v>1804.572</v>
      </c>
      <c r="E8" s="23" t="n">
        <f aca="false">'Compte de résultat'!$C$11*E4</f>
        <v>2062.368</v>
      </c>
      <c r="F8" s="23" t="n">
        <f aca="false">'Compte de résultat'!$C$11*F4</f>
        <v>2062.368</v>
      </c>
      <c r="G8" s="23" t="n">
        <f aca="false">'Compte de résultat'!$C$11*G4</f>
        <v>2320.164</v>
      </c>
      <c r="H8" s="23" t="n">
        <f aca="false">'Compte de résultat'!$C$11*H4</f>
        <v>2320.164</v>
      </c>
      <c r="I8" s="23" t="n">
        <f aca="false">'Compte de résultat'!$C$11*I4</f>
        <v>2062.368</v>
      </c>
      <c r="J8" s="23" t="n">
        <f aca="false">'Compte de résultat'!$C$11*J4</f>
        <v>1546.776</v>
      </c>
      <c r="K8" s="23" t="n">
        <f aca="false">'Compte de résultat'!$C$11*K4</f>
        <v>2320.164</v>
      </c>
      <c r="L8" s="23" t="n">
        <f aca="false">'Compte de résultat'!$C$11*L4</f>
        <v>2320.164</v>
      </c>
      <c r="M8" s="23" t="n">
        <f aca="false">'Compte de résultat'!$C$11*M4</f>
        <v>2062.368</v>
      </c>
      <c r="N8" s="23" t="n">
        <f aca="false">'Compte de résultat'!$C$11*N4</f>
        <v>3093.552</v>
      </c>
      <c r="O8" s="23" t="n">
        <f aca="false">SUM(C8:N8)</f>
        <v>25779.6</v>
      </c>
    </row>
    <row r="9" customFormat="false" ht="15" hidden="false" customHeight="false" outlineLevel="0" collapsed="false">
      <c r="B9" s="11" t="s">
        <v>185</v>
      </c>
      <c r="C9" s="23" t="n">
        <f aca="false">'CA &amp; Marges'!$C$22/12</f>
        <v>12500</v>
      </c>
      <c r="D9" s="23" t="n">
        <f aca="false">'CA &amp; Marges'!$C$22/12</f>
        <v>12500</v>
      </c>
      <c r="E9" s="23" t="n">
        <f aca="false">'CA &amp; Marges'!$C$22/12</f>
        <v>12500</v>
      </c>
      <c r="F9" s="23" t="n">
        <f aca="false">'CA &amp; Marges'!$C$22/12</f>
        <v>12500</v>
      </c>
      <c r="G9" s="23" t="n">
        <f aca="false">'CA &amp; Marges'!$C$22/12</f>
        <v>12500</v>
      </c>
      <c r="H9" s="23" t="n">
        <f aca="false">'CA &amp; Marges'!$C$22/12</f>
        <v>12500</v>
      </c>
      <c r="I9" s="23" t="n">
        <f aca="false">'CA &amp; Marges'!$C$22/12</f>
        <v>12500</v>
      </c>
      <c r="J9" s="23" t="n">
        <f aca="false">'CA &amp; Marges'!$C$22/12</f>
        <v>12500</v>
      </c>
      <c r="K9" s="23" t="n">
        <f aca="false">'CA &amp; Marges'!$C$22/12</f>
        <v>12500</v>
      </c>
      <c r="L9" s="23" t="n">
        <f aca="false">'CA &amp; Marges'!$C$22/12</f>
        <v>12500</v>
      </c>
      <c r="M9" s="23" t="n">
        <f aca="false">'CA &amp; Marges'!$C$22/12</f>
        <v>12500</v>
      </c>
      <c r="N9" s="23" t="n">
        <f aca="false">'CA &amp; Marges'!$C$22/12</f>
        <v>12500</v>
      </c>
      <c r="O9" s="23" t="n">
        <f aca="false">SUM(C9:N9)</f>
        <v>150000</v>
      </c>
    </row>
    <row r="10" customFormat="false" ht="15" hidden="false" customHeight="false" outlineLevel="0" collapsed="false">
      <c r="B10" s="11" t="s">
        <v>186</v>
      </c>
      <c r="C10" s="23" t="n">
        <f aca="false">Hypothèses!$C$37/12</f>
        <v>2500</v>
      </c>
      <c r="D10" s="23" t="n">
        <f aca="false">Hypothèses!$C$37/12</f>
        <v>2500</v>
      </c>
      <c r="E10" s="23" t="n">
        <f aca="false">Hypothèses!$C$37/12</f>
        <v>2500</v>
      </c>
      <c r="F10" s="23" t="n">
        <f aca="false">Hypothèses!$C$37/12</f>
        <v>2500</v>
      </c>
      <c r="G10" s="23" t="n">
        <f aca="false">Hypothèses!$C$37/12</f>
        <v>2500</v>
      </c>
      <c r="H10" s="23" t="n">
        <f aca="false">Hypothèses!$C$37/12</f>
        <v>2500</v>
      </c>
      <c r="I10" s="23" t="n">
        <f aca="false">Hypothèses!$C$37/12</f>
        <v>2500</v>
      </c>
      <c r="J10" s="23" t="n">
        <f aca="false">Hypothèses!$C$37/12</f>
        <v>2500</v>
      </c>
      <c r="K10" s="23" t="n">
        <f aca="false">Hypothèses!$C$37/12</f>
        <v>2500</v>
      </c>
      <c r="L10" s="23" t="n">
        <f aca="false">Hypothèses!$C$37/12</f>
        <v>2500</v>
      </c>
      <c r="M10" s="23" t="n">
        <f aca="false">Hypothèses!$C$37/12</f>
        <v>2500</v>
      </c>
      <c r="N10" s="23" t="n">
        <f aca="false">Hypothèses!$C$37/12</f>
        <v>2500</v>
      </c>
      <c r="O10" s="23" t="n">
        <f aca="false">SUM(C10:N10)</f>
        <v>30000</v>
      </c>
    </row>
    <row r="11" customFormat="false" ht="15" hidden="false" customHeight="false" outlineLevel="0" collapsed="false">
      <c r="B11" s="11" t="s">
        <v>187</v>
      </c>
      <c r="C11" s="23" t="n">
        <f aca="false">(Hypothèses!$C$38+Hypothèses!$C$39+Hypothèses!$C$41+Hypothèses!$C$42+Hypothèses!$C$43+Hypothèses!$C$44+Hypothèses!$C$45)/12</f>
        <v>4000</v>
      </c>
      <c r="D11" s="23" t="n">
        <f aca="false">(Hypothèses!$C$38+Hypothèses!$C$39+Hypothèses!$C$41+Hypothèses!$C$42+Hypothèses!$C$43+Hypothèses!$C$44+Hypothèses!$C$45)/12</f>
        <v>4000</v>
      </c>
      <c r="E11" s="23" t="n">
        <f aca="false">(Hypothèses!$C$38+Hypothèses!$C$39+Hypothèses!$C$41+Hypothèses!$C$42+Hypothèses!$C$43+Hypothèses!$C$44+Hypothèses!$C$45)/12</f>
        <v>4000</v>
      </c>
      <c r="F11" s="23" t="n">
        <f aca="false">(Hypothèses!$C$38+Hypothèses!$C$39+Hypothèses!$C$41+Hypothèses!$C$42+Hypothèses!$C$43+Hypothèses!$C$44+Hypothèses!$C$45)/12</f>
        <v>4000</v>
      </c>
      <c r="G11" s="23" t="n">
        <f aca="false">(Hypothèses!$C$38+Hypothèses!$C$39+Hypothèses!$C$41+Hypothèses!$C$42+Hypothèses!$C$43+Hypothèses!$C$44+Hypothèses!$C$45)/12</f>
        <v>4000</v>
      </c>
      <c r="H11" s="23" t="n">
        <f aca="false">(Hypothèses!$C$38+Hypothèses!$C$39+Hypothèses!$C$41+Hypothèses!$C$42+Hypothèses!$C$43+Hypothèses!$C$44+Hypothèses!$C$45)/12</f>
        <v>4000</v>
      </c>
      <c r="I11" s="23" t="n">
        <f aca="false">(Hypothèses!$C$38+Hypothèses!$C$39+Hypothèses!$C$41+Hypothèses!$C$42+Hypothèses!$C$43+Hypothèses!$C$44+Hypothèses!$C$45)/12</f>
        <v>4000</v>
      </c>
      <c r="J11" s="23" t="n">
        <f aca="false">(Hypothèses!$C$38+Hypothèses!$C$39+Hypothèses!$C$41+Hypothèses!$C$42+Hypothèses!$C$43+Hypothèses!$C$44+Hypothèses!$C$45)/12</f>
        <v>4000</v>
      </c>
      <c r="K11" s="23" t="n">
        <f aca="false">(Hypothèses!$C$38+Hypothèses!$C$39+Hypothèses!$C$41+Hypothèses!$C$42+Hypothèses!$C$43+Hypothèses!$C$44+Hypothèses!$C$45)/12</f>
        <v>4000</v>
      </c>
      <c r="L11" s="23" t="n">
        <f aca="false">(Hypothèses!$C$38+Hypothèses!$C$39+Hypothèses!$C$41+Hypothèses!$C$42+Hypothèses!$C$43+Hypothèses!$C$44+Hypothèses!$C$45)/12</f>
        <v>4000</v>
      </c>
      <c r="M11" s="23" t="n">
        <f aca="false">(Hypothèses!$C$38+Hypothèses!$C$39+Hypothèses!$C$41+Hypothèses!$C$42+Hypothèses!$C$43+Hypothèses!$C$44+Hypothèses!$C$45)/12</f>
        <v>4000</v>
      </c>
      <c r="N11" s="23" t="n">
        <f aca="false">(Hypothèses!$C$38+Hypothèses!$C$39+Hypothèses!$C$41+Hypothèses!$C$42+Hypothèses!$C$43+Hypothèses!$C$44+Hypothèses!$C$45)/12</f>
        <v>4000</v>
      </c>
      <c r="O11" s="23" t="n">
        <f aca="false">SUM(C11:N11)</f>
        <v>48000</v>
      </c>
    </row>
    <row r="12" customFormat="false" ht="15" hidden="false" customHeight="false" outlineLevel="0" collapsed="false">
      <c r="B12" s="11" t="s">
        <v>188</v>
      </c>
      <c r="C12" s="23" t="n">
        <f aca="false">Hypothèses!$C$49/12</f>
        <v>250</v>
      </c>
      <c r="D12" s="23" t="n">
        <f aca="false">Hypothèses!$C$49/12</f>
        <v>250</v>
      </c>
      <c r="E12" s="23" t="n">
        <f aca="false">Hypothèses!$C$49/12</f>
        <v>250</v>
      </c>
      <c r="F12" s="23" t="n">
        <f aca="false">Hypothèses!$C$49/12</f>
        <v>250</v>
      </c>
      <c r="G12" s="23" t="n">
        <f aca="false">Hypothèses!$C$49/12</f>
        <v>250</v>
      </c>
      <c r="H12" s="23" t="n">
        <f aca="false">Hypothèses!$C$49/12</f>
        <v>250</v>
      </c>
      <c r="I12" s="23" t="n">
        <f aca="false">Hypothèses!$C$49/12</f>
        <v>250</v>
      </c>
      <c r="J12" s="23" t="n">
        <f aca="false">Hypothèses!$C$49/12</f>
        <v>250</v>
      </c>
      <c r="K12" s="23" t="n">
        <f aca="false">Hypothèses!$C$49/12</f>
        <v>250</v>
      </c>
      <c r="L12" s="23" t="n">
        <f aca="false">Hypothèses!$C$49/12</f>
        <v>250</v>
      </c>
      <c r="M12" s="23" t="n">
        <f aca="false">Hypothèses!$C$49/12</f>
        <v>250</v>
      </c>
      <c r="N12" s="23" t="n">
        <f aca="false">Hypothèses!$C$49/12</f>
        <v>250</v>
      </c>
      <c r="O12" s="23" t="n">
        <f aca="false">SUM(C12:N12)</f>
        <v>3000</v>
      </c>
    </row>
    <row r="13" customFormat="false" ht="15" hidden="false" customHeight="false" outlineLevel="0" collapsed="false">
      <c r="B13" s="11" t="s">
        <v>189</v>
      </c>
      <c r="C13" s="23" t="n">
        <f aca="false">'Plan de financement'!$C$25/12</f>
        <v>2404.10412983378</v>
      </c>
      <c r="D13" s="23" t="n">
        <f aca="false">'Plan de financement'!$C$25/12</f>
        <v>2404.10412983378</v>
      </c>
      <c r="E13" s="23" t="n">
        <f aca="false">'Plan de financement'!$C$25/12</f>
        <v>2404.10412983378</v>
      </c>
      <c r="F13" s="23" t="n">
        <f aca="false">'Plan de financement'!$C$25/12</f>
        <v>2404.10412983378</v>
      </c>
      <c r="G13" s="23" t="n">
        <f aca="false">'Plan de financement'!$C$25/12</f>
        <v>2404.10412983378</v>
      </c>
      <c r="H13" s="23" t="n">
        <f aca="false">'Plan de financement'!$C$25/12</f>
        <v>2404.10412983378</v>
      </c>
      <c r="I13" s="23" t="n">
        <f aca="false">'Plan de financement'!$C$25/12</f>
        <v>2404.10412983378</v>
      </c>
      <c r="J13" s="23" t="n">
        <f aca="false">'Plan de financement'!$C$25/12</f>
        <v>2404.10412983378</v>
      </c>
      <c r="K13" s="23" t="n">
        <f aca="false">'Plan de financement'!$C$25/12</f>
        <v>2404.10412983378</v>
      </c>
      <c r="L13" s="23" t="n">
        <f aca="false">'Plan de financement'!$C$25/12</f>
        <v>2404.10412983378</v>
      </c>
      <c r="M13" s="23" t="n">
        <f aca="false">'Plan de financement'!$C$25/12</f>
        <v>2404.10412983378</v>
      </c>
      <c r="N13" s="23" t="n">
        <f aca="false">'Plan de financement'!$C$25/12</f>
        <v>2404.10412983378</v>
      </c>
      <c r="O13" s="23" t="n">
        <f aca="false">SUM(C13:N13)</f>
        <v>28849.2495580054</v>
      </c>
    </row>
    <row r="14" customFormat="false" ht="15" hidden="false" customHeight="false" outlineLevel="0" collapsed="false">
      <c r="B14" s="16" t="s">
        <v>190</v>
      </c>
      <c r="C14" s="29" t="n">
        <f aca="false">SUM(C7:C13)</f>
        <v>33886.5243298338</v>
      </c>
      <c r="D14" s="29" t="n">
        <f aca="false">SUM(D7:D13)</f>
        <v>33886.5243298338</v>
      </c>
      <c r="E14" s="29" t="n">
        <f aca="false">SUM(E7:E13)</f>
        <v>35634.0129298338</v>
      </c>
      <c r="F14" s="29" t="n">
        <f aca="false">SUM(F7:F13)</f>
        <v>35634.0129298338</v>
      </c>
      <c r="G14" s="29" t="n">
        <f aca="false">SUM(G7:G13)</f>
        <v>37381.5015298338</v>
      </c>
      <c r="H14" s="29" t="n">
        <f aca="false">SUM(H7:H13)</f>
        <v>37381.5015298338</v>
      </c>
      <c r="I14" s="29" t="n">
        <f aca="false">SUM(I7:I13)</f>
        <v>35634.0129298338</v>
      </c>
      <c r="J14" s="29" t="n">
        <f aca="false">SUM(J7:J13)</f>
        <v>32139.0357298338</v>
      </c>
      <c r="K14" s="29" t="n">
        <f aca="false">SUM(K7:K13)</f>
        <v>37381.5015298338</v>
      </c>
      <c r="L14" s="29" t="n">
        <f aca="false">SUM(L7:L13)</f>
        <v>37381.5015298338</v>
      </c>
      <c r="M14" s="29" t="n">
        <f aca="false">SUM(M7:M13)</f>
        <v>35634.0129298338</v>
      </c>
      <c r="N14" s="29" t="n">
        <f aca="false">SUM(N7:N13)</f>
        <v>42623.9673298338</v>
      </c>
      <c r="O14" s="24" t="n">
        <f aca="false">SUM(C14:N14)</f>
        <v>434598.109558005</v>
      </c>
    </row>
    <row r="15" customFormat="false" ht="15" hidden="false" customHeight="false" outlineLevel="0" collapsed="false">
      <c r="B15" s="16" t="s">
        <v>191</v>
      </c>
      <c r="C15" s="24" t="n">
        <f aca="false">C5-C14</f>
        <v>915.935670166226</v>
      </c>
      <c r="D15" s="24" t="n">
        <f aca="false">D5-D14</f>
        <v>915.935670166226</v>
      </c>
      <c r="E15" s="24" t="n">
        <f aca="false">E5-E14</f>
        <v>4140.22707016622</v>
      </c>
      <c r="F15" s="24" t="n">
        <f aca="false">F5-F14</f>
        <v>4140.22707016622</v>
      </c>
      <c r="G15" s="24" t="n">
        <f aca="false">G5-G14</f>
        <v>7364.51847016622</v>
      </c>
      <c r="H15" s="24" t="n">
        <f aca="false">H5-H14</f>
        <v>7364.51847016622</v>
      </c>
      <c r="I15" s="24" t="n">
        <f aca="false">I5-I14</f>
        <v>4140.22707016622</v>
      </c>
      <c r="J15" s="24" t="n">
        <f aca="false">J5-J14</f>
        <v>-2308.35572983378</v>
      </c>
      <c r="K15" s="24" t="n">
        <f aca="false">K5-K14</f>
        <v>7364.51847016622</v>
      </c>
      <c r="L15" s="24" t="n">
        <f aca="false">L5-L14</f>
        <v>7364.51847016622</v>
      </c>
      <c r="M15" s="24" t="n">
        <f aca="false">M5-M14</f>
        <v>4140.22707016622</v>
      </c>
      <c r="N15" s="24" t="n">
        <f aca="false">N5-N14</f>
        <v>17037.3926701662</v>
      </c>
      <c r="O15" s="24" t="n">
        <f aca="false">SUM(C15:N15)</f>
        <v>62579.8904419947</v>
      </c>
    </row>
    <row r="16" customFormat="false" ht="15" hidden="false" customHeight="false" outlineLevel="0" collapsed="false">
      <c r="B16" s="16" t="s">
        <v>192</v>
      </c>
      <c r="C16" s="27" t="n">
        <f aca="false">Hypothèses!$C$63+C15</f>
        <v>25915.9356701662</v>
      </c>
      <c r="D16" s="27" t="n">
        <f aca="false">C16+D15</f>
        <v>26831.8713403325</v>
      </c>
      <c r="E16" s="27" t="n">
        <f aca="false">D16+E15</f>
        <v>30972.0984104987</v>
      </c>
      <c r="F16" s="27" t="n">
        <f aca="false">E16+F15</f>
        <v>35112.3254806649</v>
      </c>
      <c r="G16" s="27" t="n">
        <f aca="false">F16+G15</f>
        <v>42476.8439508311</v>
      </c>
      <c r="H16" s="27" t="n">
        <f aca="false">G16+H15</f>
        <v>49841.3624209973</v>
      </c>
      <c r="I16" s="27" t="n">
        <f aca="false">H16+I15</f>
        <v>53981.5894911636</v>
      </c>
      <c r="J16" s="27" t="n">
        <f aca="false">I16+J15</f>
        <v>51673.2337613298</v>
      </c>
      <c r="K16" s="27" t="n">
        <f aca="false">J16+K15</f>
        <v>59037.752231496</v>
      </c>
      <c r="L16" s="27" t="n">
        <f aca="false">K16+L15</f>
        <v>66402.2707016622</v>
      </c>
      <c r="M16" s="27" t="n">
        <f aca="false">L16+M15</f>
        <v>70542.4977718284</v>
      </c>
      <c r="N16" s="27" t="n">
        <f aca="false">M16+N15</f>
        <v>87579.8904419947</v>
      </c>
    </row>
    <row r="18" customFormat="false" ht="15" hidden="false" customHeight="false" outlineLevel="0" collapsed="false">
      <c r="B18" s="11" t="s">
        <v>193</v>
      </c>
      <c r="C18" s="23" t="n">
        <f aca="false">Hypothèses!C63</f>
        <v>25000</v>
      </c>
    </row>
    <row r="19" customFormat="false" ht="15" hidden="false" customHeight="false" outlineLevel="0" collapsed="false">
      <c r="B19" s="16" t="s">
        <v>194</v>
      </c>
      <c r="C19" s="24" t="n">
        <f aca="false">MIN(C16:N16)</f>
        <v>25915.9356701662</v>
      </c>
    </row>
    <row r="20" customFormat="false" ht="15" hidden="false" customHeight="false" outlineLevel="0" collapsed="false">
      <c r="B20" s="16" t="s">
        <v>195</v>
      </c>
      <c r="C20" s="24" t="n">
        <f aca="false">N16</f>
        <v>87579.8904419947</v>
      </c>
    </row>
    <row r="22" customFormat="false" ht="30" hidden="false" customHeight="true" outlineLevel="0" collapsed="false">
      <c r="B22" s="8" t="s">
        <v>196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</sheetData>
  <mergeCells count="4">
    <mergeCell ref="B1:O1"/>
    <mergeCell ref="B2:O2"/>
    <mergeCell ref="B6:O6"/>
    <mergeCell ref="B22:O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5" min="3" style="0" width="17"/>
  </cols>
  <sheetData>
    <row r="1" customFormat="false" ht="33.75" hidden="false" customHeight="true" outlineLevel="0" collapsed="false">
      <c r="B1" s="1" t="s">
        <v>197</v>
      </c>
      <c r="C1" s="1"/>
      <c r="D1" s="1"/>
      <c r="E1" s="1"/>
    </row>
    <row r="2" customFormat="false" ht="18" hidden="false" customHeight="true" outlineLevel="0" collapsed="false">
      <c r="B2" s="2" t="s">
        <v>198</v>
      </c>
      <c r="C2" s="2"/>
      <c r="D2" s="2"/>
      <c r="E2" s="2"/>
    </row>
    <row r="3" customFormat="false" ht="18" hidden="false" customHeight="true" outlineLevel="0" collapsed="false">
      <c r="B3" s="20" t="s">
        <v>199</v>
      </c>
      <c r="C3" s="21" t="s">
        <v>93</v>
      </c>
      <c r="D3" s="21" t="s">
        <v>94</v>
      </c>
      <c r="E3" s="21" t="s">
        <v>95</v>
      </c>
    </row>
    <row r="4" customFormat="false" ht="15" hidden="false" customHeight="false" outlineLevel="0" collapsed="false">
      <c r="B4" s="16" t="s">
        <v>125</v>
      </c>
      <c r="C4" s="28" t="n">
        <f aca="false">'Compte de résultat'!C4</f>
        <v>497178</v>
      </c>
      <c r="D4" s="28" t="n">
        <f aca="false">'Compte de résultat'!D4</f>
        <v>546895.8</v>
      </c>
      <c r="E4" s="28" t="n">
        <f aca="false">'Compte de résultat'!E4</f>
        <v>574240.59</v>
      </c>
    </row>
    <row r="5" customFormat="false" ht="15" hidden="false" customHeight="false" outlineLevel="0" collapsed="false">
      <c r="B5" s="11" t="s">
        <v>200</v>
      </c>
      <c r="C5" s="28" t="n">
        <f aca="false">'Compte de résultat'!C19</f>
        <v>91429.14</v>
      </c>
      <c r="D5" s="28" t="n">
        <f aca="false">'Compte de résultat'!D19</f>
        <v>115242.054</v>
      </c>
      <c r="E5" s="28" t="n">
        <f aca="false">'Compte de résultat'!E19</f>
        <v>124232.7567</v>
      </c>
    </row>
    <row r="6" customFormat="false" ht="15" hidden="false" customHeight="false" outlineLevel="0" collapsed="false">
      <c r="B6" s="11" t="s">
        <v>135</v>
      </c>
      <c r="C6" s="33" t="n">
        <f aca="false">'Compte de résultat'!C20</f>
        <v>0.183896190096907</v>
      </c>
      <c r="D6" s="33" t="n">
        <f aca="false">'Compte de résultat'!D20</f>
        <v>0.210720312717706</v>
      </c>
      <c r="E6" s="33" t="n">
        <f aca="false">'Compte de résultat'!E20</f>
        <v>0.216342694792787</v>
      </c>
    </row>
    <row r="7" customFormat="false" ht="15" hidden="false" customHeight="false" outlineLevel="0" collapsed="false">
      <c r="B7" s="16" t="s">
        <v>201</v>
      </c>
      <c r="C7" s="28" t="n">
        <f aca="false">'Compte de résultat'!C26</f>
        <v>56370.0692857143</v>
      </c>
      <c r="D7" s="28" t="n">
        <f aca="false">'Compte de résultat'!D26</f>
        <v>74945.229458297</v>
      </c>
      <c r="E7" s="28" t="n">
        <f aca="false">'Compte de résultat'!E26</f>
        <v>82435.9275161459</v>
      </c>
    </row>
    <row r="9" customFormat="false" ht="19.5" hidden="false" customHeight="true" outlineLevel="0" collapsed="false">
      <c r="B9" s="10" t="s">
        <v>202</v>
      </c>
      <c r="C9" s="10"/>
      <c r="D9" s="10"/>
      <c r="E9" s="10"/>
    </row>
    <row r="10" customFormat="false" ht="15" hidden="false" customHeight="false" outlineLevel="0" collapsed="false">
      <c r="B10" s="11" t="s">
        <v>96</v>
      </c>
      <c r="C10" s="34" t="n">
        <f aca="false">'CA &amp; Marges'!C4</f>
        <v>33480</v>
      </c>
    </row>
    <row r="11" customFormat="false" ht="15" hidden="false" customHeight="false" outlineLevel="0" collapsed="false">
      <c r="B11" s="11" t="s">
        <v>34</v>
      </c>
      <c r="C11" s="28" t="n">
        <f aca="false">Hypothèses!C18</f>
        <v>11</v>
      </c>
    </row>
    <row r="12" customFormat="false" ht="15" hidden="false" customHeight="false" outlineLevel="0" collapsed="false">
      <c r="B12" s="11" t="s">
        <v>203</v>
      </c>
      <c r="C12" s="28" t="n">
        <f aca="false">IFERROR('CA &amp; Marges'!C17/'CA &amp; Marges'!C4,0)</f>
        <v>10.4005</v>
      </c>
    </row>
    <row r="13" customFormat="false" ht="15" hidden="false" customHeight="false" outlineLevel="0" collapsed="false">
      <c r="B13" s="11" t="s">
        <v>110</v>
      </c>
      <c r="C13" s="33" t="n">
        <f aca="false">'CA &amp; Marges'!C19</f>
        <v>0.29962962962963</v>
      </c>
    </row>
    <row r="14" customFormat="false" ht="15" hidden="false" customHeight="false" outlineLevel="0" collapsed="false">
      <c r="B14" s="11" t="s">
        <v>204</v>
      </c>
      <c r="C14" s="33" t="n">
        <f aca="false">'CA &amp; Marges'!C23</f>
        <v>0.301702810663384</v>
      </c>
    </row>
    <row r="15" customFormat="false" ht="15" hidden="false" customHeight="false" outlineLevel="0" collapsed="false">
      <c r="B15" s="11" t="s">
        <v>205</v>
      </c>
      <c r="C15" s="33" t="n">
        <f aca="false">'CA &amp; Marges'!C25</f>
        <v>0.601332440293014</v>
      </c>
    </row>
    <row r="16" customFormat="false" ht="15" hidden="false" customHeight="false" outlineLevel="0" collapsed="false">
      <c r="B16" s="11" t="s">
        <v>206</v>
      </c>
      <c r="C16" s="28" t="n">
        <f aca="false">IFERROR(('Compte de résultat'!C7+('Compte de résultat'!C17-'Compte de résultat'!C11)+'Compte de résultat'!C18+'Compte de résultat'!C21+'Compte de résultat'!C23)/(('Compte de résultat'!C4-('CA &amp; Marges'!C16+'Compte de résultat'!C11))/'Compte de résultat'!C4),0)</f>
        <v>390020.80443828</v>
      </c>
    </row>
    <row r="17" customFormat="false" ht="15" hidden="false" customHeight="false" outlineLevel="0" collapsed="false">
      <c r="B17" s="11" t="s">
        <v>207</v>
      </c>
      <c r="C17" s="35" t="n">
        <f aca="false">IFERROR(Hypothèses!C55/'Compte de résultat'!C19,0)</f>
        <v>0.874994558627589</v>
      </c>
    </row>
    <row r="18" customFormat="false" ht="15" hidden="false" customHeight="false" outlineLevel="0" collapsed="false">
      <c r="B18" s="11" t="s">
        <v>194</v>
      </c>
      <c r="C18" s="28" t="n">
        <f aca="false">Trésorerie!C19</f>
        <v>25915.9356701662</v>
      </c>
    </row>
    <row r="19" customFormat="false" ht="15" hidden="false" customHeight="false" outlineLevel="0" collapsed="false">
      <c r="B19" s="11" t="s">
        <v>208</v>
      </c>
      <c r="C19" s="28" t="n">
        <f aca="false">'Plan de financement'!C19</f>
        <v>8000</v>
      </c>
    </row>
    <row r="21" customFormat="false" ht="19.5" hidden="false" customHeight="true" outlineLevel="0" collapsed="false">
      <c r="B21" s="10" t="s">
        <v>209</v>
      </c>
      <c r="C21" s="10"/>
      <c r="D21" s="10"/>
      <c r="E21" s="10"/>
    </row>
    <row r="22" customFormat="false" ht="15" hidden="false" customHeight="false" outlineLevel="0" collapsed="false">
      <c r="B22" s="36" t="str">
        <f aca="false">IF('Plan de financement'!C19&lt;0,"⚠️ Plan de financement déséquilibré : il manque "&amp;TEXT(-'Plan de financement'!C19,"#,##0")&amp;" € de financement",IF(Trésorerie!C19&lt;0,"⚠️ Alerte trésorerie : trou de "&amp;TEXT(-Trésorerie!C19,"#,##0")&amp;" € en Année 1",IF('CA &amp; Marges'!C25&gt;0.7,"⚠️ Prime cost trop élevé ("&amp;TEXT('CA &amp; Marges'!C25,"0.0%")&amp;") : rentabilité menacée",IF('Compte de résultat'!C20&lt;0.08,"⚠️ Rentabilité insuffisante : marge d'EBE de "&amp;TEXT('Compte de résultat'!C20,"0.0%"),"✅ Projet viable — marge d'EBE de "&amp;TEXT('Compte de résultat'!C20,"0.0%")&amp;". À challenger avec un expert-comptable."))))</f>
        <v>✅ Projet viable — marge d'EBE de 18.4%. À challenger avec un expert-comptable.</v>
      </c>
      <c r="C22" s="36"/>
      <c r="D22" s="36"/>
      <c r="E22" s="36"/>
    </row>
    <row r="23" customFormat="false" ht="15" hidden="false" customHeight="false" outlineLevel="0" collapsed="false">
      <c r="B23" s="36"/>
      <c r="C23" s="36"/>
      <c r="D23" s="36"/>
      <c r="E23" s="36"/>
    </row>
    <row r="24" customFormat="false" ht="15" hidden="false" customHeight="false" outlineLevel="0" collapsed="false">
      <c r="B24" s="36"/>
      <c r="C24" s="36"/>
      <c r="D24" s="36"/>
      <c r="E24" s="36"/>
    </row>
    <row r="26" customFormat="false" ht="30" hidden="false" customHeight="true" outlineLevel="0" collapsed="false">
      <c r="B26" s="37" t="s">
        <v>210</v>
      </c>
      <c r="C26" s="37"/>
      <c r="D26" s="37"/>
      <c r="E26" s="37"/>
    </row>
  </sheetData>
  <mergeCells count="6">
    <mergeCell ref="B1:E1"/>
    <mergeCell ref="B2:E2"/>
    <mergeCell ref="B9:E9"/>
    <mergeCell ref="B21:E21"/>
    <mergeCell ref="B22:E24"/>
    <mergeCell ref="B26:E26"/>
  </mergeCells>
  <conditionalFormatting sqref="B22">
    <cfRule type="expression" priority="2" aboveAverage="0" equalAverage="0" bottom="0" percent="0" rank="0" text="" dxfId="0">
      <formula>ISNUMBER(SEARCH("✅",$B$22))</formula>
    </cfRule>
    <cfRule type="expression" priority="3" aboveAverage="0" equalAverage="0" bottom="0" percent="0" rank="0" text="" dxfId="1">
      <formula>ISNUMBER(SEARCH("⚠",$B$22))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2026-06-30T18:38:25Z</dcterms:created>
  <dc:creator>openpyxl</dc:creator>
  <dc:description/>
  <dc:language>en-US</dc:language>
  <cp:lastModifiedBy/>
  <dcterms:modified xsi:type="dcterms:W3CDTF">2026-06-30T18:38:25Z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