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prados\Downloads\"/>
    </mc:Choice>
  </mc:AlternateContent>
  <xr:revisionPtr revIDLastSave="0" documentId="13_ncr:1_{49B2B850-9447-41E2-B6DD-CAD08F5870A6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Simulation" sheetId="1" r:id="rId1"/>
  </sheets>
  <definedNames>
    <definedName name="IR_MAX">#REF!</definedName>
    <definedName name="IR_MIN">#REF!</definedName>
    <definedName name="IR_R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B18" i="1" s="1"/>
  <c r="B76" i="1"/>
  <c r="B70" i="1"/>
  <c r="B64" i="1"/>
  <c r="B58" i="1"/>
  <c r="B52" i="1"/>
  <c r="B46" i="1"/>
  <c r="B40" i="1"/>
  <c r="B27" i="1"/>
  <c r="B20" i="1"/>
  <c r="B88" i="1"/>
  <c r="B83" i="1"/>
  <c r="B84" i="1" s="1"/>
  <c r="E8" i="1"/>
  <c r="B12" i="1" l="1"/>
  <c r="B91" i="1" s="1"/>
  <c r="B85" i="1"/>
  <c r="B86" i="1" s="1"/>
  <c r="B87" i="1" s="1"/>
  <c r="B89" i="1" s="1"/>
  <c r="B90" i="1" s="1"/>
  <c r="E3" i="1" l="1"/>
  <c r="B92" i="1"/>
  <c r="E10" i="1" s="1"/>
  <c r="E12" i="1" s="1"/>
  <c r="E4" i="1"/>
  <c r="E9" i="1"/>
  <c r="E22" i="1" l="1"/>
  <c r="E18" i="1"/>
  <c r="E21" i="1" s="1"/>
  <c r="E16" i="1"/>
  <c r="E14" i="1"/>
  <c r="E26" i="1"/>
  <c r="E25" i="1" l="1"/>
  <c r="E27" i="1" s="1"/>
  <c r="E23" i="1"/>
  <c r="E29" i="1" l="1"/>
  <c r="E31" i="1" s="1"/>
  <c r="E32" i="1" l="1"/>
  <c r="E34" i="1" s="1"/>
  <c r="E35" i="1" s="1"/>
</calcChain>
</file>

<file path=xl/sharedStrings.xml><?xml version="1.0" encoding="utf-8"?>
<sst xmlns="http://schemas.openxmlformats.org/spreadsheetml/2006/main" count="110" uniqueCount="106">
  <si>
    <t>Simulateur revenus libéral (URSSAF / Choix du BNC ou Micro BNC)</t>
  </si>
  <si>
    <t>Barème de l’impôt sur le revenu — tranches (modifiables)</t>
  </si>
  <si>
    <t>Paramètres (modifiables)</t>
  </si>
  <si>
    <t>KPI (mensuels)</t>
  </si>
  <si>
    <t>Seuil bas (€/part)</t>
  </si>
  <si>
    <t>Seuil haut (€/part)</t>
  </si>
  <si>
    <t>Taux</t>
  </si>
  <si>
    <t>Jours d’ouverture / semaine</t>
  </si>
  <si>
    <t>Capacité / résa / effectif / semaine</t>
  </si>
  <si>
    <t>Heures d’ouverture / jour</t>
  </si>
  <si>
    <t>CA mensuel</t>
  </si>
  <si>
    <t>Durée 1re consultation (minutes)</t>
  </si>
  <si>
    <t>Tarif 1re consultation (€)</t>
  </si>
  <si>
    <t>Durée suivi (minutes)</t>
  </si>
  <si>
    <t>KPI annuels</t>
  </si>
  <si>
    <t>Tarif suivi (€)</t>
  </si>
  <si>
    <t>Mois travaillés</t>
  </si>
  <si>
    <t>% de 1res consultations</t>
  </si>
  <si>
    <t>CA annuel</t>
  </si>
  <si>
    <t>Taux de remplissage global</t>
  </si>
  <si>
    <t>Net annuel (avant IR et Urssaf)</t>
  </si>
  <si>
    <t>No-show / annulations</t>
  </si>
  <si>
    <t>Part</t>
  </si>
  <si>
    <t>Barème relatif de l'URSSAF — tranches (modifiables)</t>
  </si>
  <si>
    <t>Charges fixes / mois (€)</t>
  </si>
  <si>
    <t>Revenu fiscal :</t>
  </si>
  <si>
    <t>Taux URSSAF Micro BNC</t>
  </si>
  <si>
    <t xml:space="preserve">Charges déductibles : </t>
  </si>
  <si>
    <t>Revenus annexes / mois (€)</t>
  </si>
  <si>
    <t>Semaines par mois</t>
  </si>
  <si>
    <t>CA &gt; 77 700 € ?</t>
  </si>
  <si>
    <t>Mois travaillés / an</t>
  </si>
  <si>
    <t>Base imposable si Micro BNC</t>
  </si>
  <si>
    <t>Créneaux possibles/jour</t>
  </si>
  <si>
    <t>CAPACITÉ/SEM</t>
  </si>
  <si>
    <t>-Si Micro BNC possible, montant de l'impôt si Micro BNC choisi</t>
  </si>
  <si>
    <t>RÉSERVATIONS/SEM (remplissage)</t>
  </si>
  <si>
    <t>-Si Micro BNC Possible, montant de l'URSSAF</t>
  </si>
  <si>
    <t>SÉANCES EFFECTIVES/SEM (après no-show)</t>
  </si>
  <si>
    <t>Total :</t>
  </si>
  <si>
    <t>SÉANCES/MOIS</t>
  </si>
  <si>
    <t>Prix moyen pondéré (€)</t>
  </si>
  <si>
    <t>Si Micro BNC Possible, montant de l'impôt si BNC réel choisi / BNC réel imposé</t>
  </si>
  <si>
    <t>Si Micro BNC Possible, montant de l'URSSAF si réel</t>
  </si>
  <si>
    <t xml:space="preserve">Total : </t>
  </si>
  <si>
    <t>Charges annuelles</t>
  </si>
  <si>
    <t>Bénéfice (avant cotisations)</t>
  </si>
  <si>
    <t>Impots et URSSAF thérorique le moindre Micro BNC VS REEL</t>
  </si>
  <si>
    <t xml:space="preserve">Régime final : </t>
  </si>
  <si>
    <t>Impôts et URSSAF final</t>
  </si>
  <si>
    <t>Revenu annuel net d'URSSAF et d'IR</t>
  </si>
  <si>
    <t>Revenu mensuel net d'URSSAF et d'IR</t>
  </si>
  <si>
    <t>Détail des charges fixes :</t>
  </si>
  <si>
    <t>Déplacements &amp; véhicule</t>
  </si>
  <si>
    <t>Carburant</t>
  </si>
  <si>
    <t>Entretien / réparations</t>
  </si>
  <si>
    <t>Assurance auto pro</t>
  </si>
  <si>
    <t>Péages &amp; parking</t>
  </si>
  <si>
    <t>Frais kilométriques (IK)</t>
  </si>
  <si>
    <t>Locaux &amp; charges fixes</t>
  </si>
  <si>
    <t>Loyer cabinet / bureau</t>
  </si>
  <si>
    <t>Charges locatives / syndic</t>
  </si>
  <si>
    <t>Eau, électricité, chauffage</t>
  </si>
  <si>
    <t>Téléphonie &amp; Internet</t>
  </si>
  <si>
    <t>Ménage, entretien, petits travaux</t>
  </si>
  <si>
    <t>Matériel &amp; logiciels</t>
  </si>
  <si>
    <t>Ordinateur, tablette, smartphone</t>
  </si>
  <si>
    <t>Imprimante &amp; consommables</t>
  </si>
  <si>
    <t>Logiciels de gestion &amp; compta</t>
  </si>
  <si>
    <t>Abonnements pro (visioconf, cloud…)</t>
  </si>
  <si>
    <t>Formation &amp; documentation</t>
  </si>
  <si>
    <t>Formations obligatoires</t>
  </si>
  <si>
    <t>Formations volontaires</t>
  </si>
  <si>
    <t>Livres, revues spécialisées</t>
  </si>
  <si>
    <t>Abonnements en ligne</t>
  </si>
  <si>
    <t>Assurances &amp; protection</t>
  </si>
  <si>
    <t>RC professionnelle</t>
  </si>
  <si>
    <t>Mutuelle santé</t>
  </si>
  <si>
    <t>Prévoyance (Madelin)</t>
  </si>
  <si>
    <t>Retraite complémentaire</t>
  </si>
  <si>
    <t>Personnel &amp; collaborateurs</t>
  </si>
  <si>
    <t>Salaires assistante / secrétaire</t>
  </si>
  <si>
    <t>Charges sociales patronales</t>
  </si>
  <si>
    <t>Frais de recrutement</t>
  </si>
  <si>
    <t>Notes de frais remboursées</t>
  </si>
  <si>
    <t>Frais financiers &amp; bancaires</t>
  </si>
  <si>
    <t>Intérêts d’emprunts pro</t>
  </si>
  <si>
    <t>Frais bancaires / agios</t>
  </si>
  <si>
    <t>Abonnement compte pro</t>
  </si>
  <si>
    <t>Terminal de paiement (TPE)</t>
  </si>
  <si>
    <t>Marketing &amp; communication</t>
  </si>
  <si>
    <t>Site internet (hébergement)</t>
  </si>
  <si>
    <t>Publicité en ligne (Google Ads, FB Ads)</t>
  </si>
  <si>
    <t>Flyers, cartes de visite</t>
  </si>
  <si>
    <t>Réseaux professionnels / annuaires</t>
  </si>
  <si>
    <t>Cotisations &amp; taxes</t>
  </si>
  <si>
    <t>URSSAF (cotisations sociales)</t>
  </si>
  <si>
    <t>CSG-CRDS</t>
  </si>
  <si>
    <t>CFE (cotisation foncière des entreprises)</t>
  </si>
  <si>
    <t>Cotisation à l’Ordre / Chambre</t>
  </si>
  <si>
    <t>Divers</t>
  </si>
  <si>
    <t>Repas professionnels</t>
  </si>
  <si>
    <t>Déplacements pros (train, avion, hôtel)</t>
  </si>
  <si>
    <t>Cadeaux clients</t>
  </si>
  <si>
    <t>Tenues professionnelles obligatoires</t>
  </si>
  <si>
    <t>CA mensuel lissé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</si>
</sst>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"/>
    <numFmt numFmtId="165" formatCode="#,##0\ \€"/>
    <numFmt numFmtId="166" formatCode="#,##0\ &quot;€&quot;"/>
    <numFmt numFmtId="167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334155"/>
      <name val="Calibri"/>
      <family val="2"/>
      <scheme val="minor"/>
    </font>
    <font>
      <i/>
      <sz val="11"/>
      <color rgb="FF64748B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2E8F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/>
    <xf numFmtId="9" fontId="5" fillId="0" borderId="0"/>
  </cellStyleXfs>
  <cellXfs count="32">
    <xf numFmtId="0" fontId="0" fillId="0" borderId="0" xfId="0"/>
    <xf numFmtId="0" fontId="2" fillId="0" borderId="0" xfId="0" applyFont="1"/>
    <xf numFmtId="165" fontId="0" fillId="0" borderId="0" xfId="0" applyNumberFormat="1"/>
    <xf numFmtId="1" fontId="0" fillId="0" borderId="0" xfId="0" applyNumberFormat="1"/>
    <xf numFmtId="0" fontId="3" fillId="0" borderId="0" xfId="0" applyFont="1"/>
    <xf numFmtId="9" fontId="0" fillId="0" borderId="0" xfId="0" applyNumberFormat="1"/>
    <xf numFmtId="0" fontId="4" fillId="2" borderId="1" xfId="0" applyFont="1" applyFill="1" applyBorder="1"/>
    <xf numFmtId="166" fontId="0" fillId="0" borderId="0" xfId="0" applyNumberFormat="1"/>
    <xf numFmtId="167" fontId="5" fillId="0" borderId="0" xfId="1" applyNumberFormat="1"/>
    <xf numFmtId="0" fontId="4" fillId="2" borderId="2" xfId="0" applyFont="1" applyFill="1" applyBorder="1"/>
    <xf numFmtId="9" fontId="5" fillId="0" borderId="0" xfId="2"/>
    <xf numFmtId="9" fontId="0" fillId="0" borderId="0" xfId="2" applyFont="1"/>
    <xf numFmtId="0" fontId="6" fillId="0" borderId="0" xfId="0" quotePrefix="1" applyFont="1"/>
    <xf numFmtId="165" fontId="0" fillId="0" borderId="0" xfId="1" applyNumberFormat="1" applyFont="1"/>
    <xf numFmtId="0" fontId="6" fillId="0" borderId="3" xfId="0" quotePrefix="1" applyFont="1" applyBorder="1"/>
    <xf numFmtId="165" fontId="0" fillId="0" borderId="3" xfId="1" applyNumberFormat="1" applyFont="1" applyBorder="1"/>
    <xf numFmtId="0" fontId="6" fillId="0" borderId="0" xfId="0" applyFont="1"/>
    <xf numFmtId="0" fontId="6" fillId="0" borderId="3" xfId="0" applyFont="1" applyBorder="1"/>
    <xf numFmtId="165" fontId="0" fillId="0" borderId="3" xfId="0" applyNumberFormat="1" applyBorder="1"/>
    <xf numFmtId="165" fontId="5" fillId="0" borderId="0" xfId="1" applyNumberFormat="1"/>
    <xf numFmtId="0" fontId="1" fillId="0" borderId="0" xfId="0" applyFont="1"/>
    <xf numFmtId="0" fontId="0" fillId="0" borderId="0" xfId="0"/>
    <xf numFmtId="0" fontId="4" fillId="0" borderId="0" xfId="0" applyFont="1"/>
    <xf numFmtId="164" fontId="0" fillId="3" borderId="0" xfId="0" applyNumberFormat="1" applyFill="1"/>
    <xf numFmtId="1" fontId="0" fillId="3" borderId="0" xfId="0" applyNumberFormat="1" applyFill="1"/>
    <xf numFmtId="165" fontId="0" fillId="3" borderId="0" xfId="0" applyNumberFormat="1" applyFill="1"/>
    <xf numFmtId="9" fontId="0" fillId="3" borderId="0" xfId="0" applyNumberFormat="1" applyFill="1"/>
    <xf numFmtId="0" fontId="0" fillId="3" borderId="0" xfId="0" applyFill="1"/>
    <xf numFmtId="44" fontId="4" fillId="2" borderId="1" xfId="0" applyNumberFormat="1" applyFont="1" applyFill="1" applyBorder="1"/>
    <xf numFmtId="166" fontId="4" fillId="2" borderId="2" xfId="0" applyNumberFormat="1" applyFont="1" applyFill="1" applyBorder="1"/>
    <xf numFmtId="166" fontId="4" fillId="2" borderId="1" xfId="0" applyNumberFormat="1" applyFont="1" applyFill="1" applyBorder="1"/>
    <xf numFmtId="1" fontId="4" fillId="2" borderId="1" xfId="0" applyNumberFormat="1" applyFont="1" applyFill="1" applyBorder="1"/>
  </cellXfs>
  <cellStyles count="3">
    <cellStyle name="Milliers" xfId="1" builtinId="3"/>
    <cellStyle name="Normal" xfId="0" builtinId="0"/>
    <cellStyle name="Pourcentage" xfId="2" builtinId="5"/>
  </cellStyles>
  <dxfs count="3">
    <dxf>
      <fill>
        <patternFill patternType="solid">
          <fgColor rgb="FFC6EFCE"/>
          <bgColor rgb="FFC6EFCE"/>
        </patternFill>
      </fill>
    </dxf>
    <dxf>
      <fill>
        <patternFill patternType="solid">
          <fgColor rgb="FFE7E6E6"/>
          <bgColor rgb="FFE7E6E6"/>
        </patternFill>
      </fill>
    </dxf>
    <dxf>
      <font>
        <b/>
        <color rgb="FFFFFFFF"/>
      </font>
      <fill>
        <patternFill patternType="solid">
          <fgColor rgb="FF006100"/>
          <bgColor rgb="FF0061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2"/>
  <sheetViews>
    <sheetView tabSelected="1" workbookViewId="0">
      <selection activeCell="D44" sqref="D44"/>
    </sheetView>
  </sheetViews>
  <sheetFormatPr baseColWidth="10" defaultColWidth="8.88671875" defaultRowHeight="14.4" x14ac:dyDescent="0.3"/>
  <cols>
    <col min="1" max="1" width="46.6640625" customWidth="1"/>
    <col min="2" max="2" width="16.6640625" customWidth="1"/>
    <col min="4" max="4" width="71.6640625" customWidth="1"/>
    <col min="5" max="5" width="34" customWidth="1"/>
    <col min="6" max="6" width="30.6640625" customWidth="1"/>
    <col min="7" max="7" width="20" customWidth="1"/>
    <col min="8" max="8" width="22.33203125" customWidth="1"/>
    <col min="9" max="9" width="24.88671875" customWidth="1"/>
  </cols>
  <sheetData>
    <row r="1" spans="1:9" ht="18" customHeight="1" x14ac:dyDescent="0.35">
      <c r="A1" s="20" t="s">
        <v>0</v>
      </c>
      <c r="B1" s="21"/>
      <c r="C1" s="21"/>
      <c r="D1" s="21"/>
      <c r="E1" s="21"/>
      <c r="G1" s="20" t="s">
        <v>1</v>
      </c>
      <c r="H1" s="21"/>
      <c r="I1" s="21"/>
    </row>
    <row r="2" spans="1:9" x14ac:dyDescent="0.3">
      <c r="A2" s="1" t="s">
        <v>2</v>
      </c>
      <c r="D2" s="1" t="s">
        <v>3</v>
      </c>
      <c r="G2" s="6" t="s">
        <v>4</v>
      </c>
      <c r="H2" s="6" t="s">
        <v>5</v>
      </c>
      <c r="I2" s="6" t="s">
        <v>6</v>
      </c>
    </row>
    <row r="3" spans="1:9" x14ac:dyDescent="0.3">
      <c r="A3" t="s">
        <v>7</v>
      </c>
      <c r="B3" s="23">
        <v>3</v>
      </c>
      <c r="D3" s="1" t="s">
        <v>8</v>
      </c>
      <c r="E3" t="str">
        <f>TEXT(B84,"0") &amp; " capacités  •  " &amp; TEXT(B85,"0") &amp; " réservations  •  " &amp; TEXT(B86,"0") &amp; " effectives"</f>
        <v>66 capacités  •  63 réservations  •  60 effectives</v>
      </c>
      <c r="G3" s="8">
        <v>0</v>
      </c>
      <c r="H3" s="8">
        <v>10777</v>
      </c>
      <c r="I3" s="10">
        <v>0</v>
      </c>
    </row>
    <row r="4" spans="1:9" x14ac:dyDescent="0.3">
      <c r="A4" t="s">
        <v>9</v>
      </c>
      <c r="B4" s="23">
        <v>7.5</v>
      </c>
      <c r="D4" s="1" t="s">
        <v>105</v>
      </c>
      <c r="E4" s="2">
        <f>B90/12</f>
        <v>5158.3289999999988</v>
      </c>
      <c r="G4" s="8">
        <v>10777</v>
      </c>
      <c r="H4" s="8">
        <v>27478</v>
      </c>
      <c r="I4" s="10">
        <v>0.11</v>
      </c>
    </row>
    <row r="5" spans="1:9" x14ac:dyDescent="0.3">
      <c r="A5" t="s">
        <v>11</v>
      </c>
      <c r="B5" s="24">
        <v>20</v>
      </c>
      <c r="D5" s="1"/>
      <c r="E5" s="2"/>
      <c r="G5" s="8">
        <v>27478</v>
      </c>
      <c r="H5" s="8">
        <v>78570</v>
      </c>
      <c r="I5" s="10">
        <v>0.3</v>
      </c>
    </row>
    <row r="6" spans="1:9" x14ac:dyDescent="0.3">
      <c r="A6" t="s">
        <v>12</v>
      </c>
      <c r="B6" s="25">
        <v>30</v>
      </c>
      <c r="G6" s="8">
        <v>78570</v>
      </c>
      <c r="H6" s="8">
        <v>168994</v>
      </c>
      <c r="I6" s="10">
        <v>0.41</v>
      </c>
    </row>
    <row r="7" spans="1:9" x14ac:dyDescent="0.3">
      <c r="A7" t="s">
        <v>13</v>
      </c>
      <c r="B7" s="24">
        <v>20</v>
      </c>
      <c r="D7" s="1" t="s">
        <v>14</v>
      </c>
      <c r="G7" s="8">
        <v>168994</v>
      </c>
      <c r="H7" s="8">
        <v>1000000000000</v>
      </c>
      <c r="I7" s="10">
        <v>0.45</v>
      </c>
    </row>
    <row r="8" spans="1:9" x14ac:dyDescent="0.3">
      <c r="A8" t="s">
        <v>15</v>
      </c>
      <c r="B8" s="25">
        <v>30</v>
      </c>
      <c r="D8" s="4" t="s">
        <v>16</v>
      </c>
      <c r="E8">
        <f>B16</f>
        <v>8</v>
      </c>
      <c r="I8" s="11"/>
    </row>
    <row r="9" spans="1:9" x14ac:dyDescent="0.3">
      <c r="A9" t="s">
        <v>17</v>
      </c>
      <c r="B9" s="26">
        <v>0.2</v>
      </c>
      <c r="D9" s="1" t="s">
        <v>18</v>
      </c>
      <c r="E9" s="2">
        <f>+B90</f>
        <v>61899.947999999989</v>
      </c>
    </row>
    <row r="10" spans="1:9" x14ac:dyDescent="0.3">
      <c r="A10" t="s">
        <v>19</v>
      </c>
      <c r="B10" s="26">
        <v>0.95</v>
      </c>
      <c r="D10" s="1" t="s">
        <v>20</v>
      </c>
      <c r="E10" s="2">
        <f>+B92</f>
        <v>52299.947999999989</v>
      </c>
    </row>
    <row r="11" spans="1:9" ht="18" customHeight="1" x14ac:dyDescent="0.35">
      <c r="A11" t="s">
        <v>21</v>
      </c>
      <c r="B11" s="26">
        <v>0.05</v>
      </c>
      <c r="D11" s="1" t="s">
        <v>22</v>
      </c>
      <c r="E11" s="3">
        <v>1</v>
      </c>
      <c r="G11" s="20" t="s">
        <v>23</v>
      </c>
      <c r="H11" s="21"/>
      <c r="I11" s="21"/>
    </row>
    <row r="12" spans="1:9" x14ac:dyDescent="0.3">
      <c r="A12" t="s">
        <v>24</v>
      </c>
      <c r="B12" s="25">
        <f>+B18</f>
        <v>800</v>
      </c>
      <c r="D12" s="1" t="s">
        <v>25</v>
      </c>
      <c r="E12" s="7">
        <f>+E10</f>
        <v>52299.947999999989</v>
      </c>
      <c r="G12" s="6" t="s">
        <v>4</v>
      </c>
      <c r="H12" s="6" t="s">
        <v>5</v>
      </c>
      <c r="I12" s="6" t="s">
        <v>6</v>
      </c>
    </row>
    <row r="13" spans="1:9" x14ac:dyDescent="0.3">
      <c r="A13" t="s">
        <v>26</v>
      </c>
      <c r="B13" s="26">
        <v>0.22</v>
      </c>
      <c r="G13" s="8">
        <v>0</v>
      </c>
      <c r="H13" s="8">
        <v>9273.6</v>
      </c>
      <c r="I13" s="5">
        <v>0.2</v>
      </c>
    </row>
    <row r="14" spans="1:9" x14ac:dyDescent="0.3">
      <c r="A14" t="s">
        <v>28</v>
      </c>
      <c r="B14" s="25">
        <v>0</v>
      </c>
      <c r="D14" s="1" t="s">
        <v>27</v>
      </c>
      <c r="E14" s="2">
        <f>+E9-E10</f>
        <v>9600</v>
      </c>
      <c r="G14" s="8">
        <v>9273.6</v>
      </c>
      <c r="H14" s="8">
        <v>51004.800000000003</v>
      </c>
      <c r="I14" s="5">
        <v>0.3</v>
      </c>
    </row>
    <row r="15" spans="1:9" x14ac:dyDescent="0.3">
      <c r="A15" t="s">
        <v>29</v>
      </c>
      <c r="B15" s="23">
        <v>4.33</v>
      </c>
      <c r="G15" s="8">
        <v>51004.800000000003</v>
      </c>
      <c r="H15" s="8">
        <v>64915.199999999997</v>
      </c>
      <c r="I15" s="5">
        <v>0.35</v>
      </c>
    </row>
    <row r="16" spans="1:9" x14ac:dyDescent="0.3">
      <c r="A16" t="s">
        <v>31</v>
      </c>
      <c r="B16" s="24">
        <v>8</v>
      </c>
      <c r="D16" s="1" t="s">
        <v>30</v>
      </c>
      <c r="E16" t="str">
        <f>+IF(E9&gt;77700,"BNC réel","Micro-BNC possible")</f>
        <v>Micro-BNC possible</v>
      </c>
      <c r="G16" s="8">
        <v>64915.199999999997</v>
      </c>
      <c r="H16" s="8">
        <v>213840</v>
      </c>
      <c r="I16" s="5">
        <v>0.38</v>
      </c>
    </row>
    <row r="17" spans="1:9" x14ac:dyDescent="0.3">
      <c r="G17" s="8">
        <v>231840</v>
      </c>
      <c r="H17" s="8">
        <v>100000000</v>
      </c>
      <c r="I17" s="5">
        <v>0.42</v>
      </c>
    </row>
    <row r="18" spans="1:9" x14ac:dyDescent="0.3">
      <c r="A18" s="22" t="s">
        <v>52</v>
      </c>
      <c r="B18">
        <f>+B20+B27+B40+B46+B52+B58+B64+B70+B76+B33</f>
        <v>800</v>
      </c>
      <c r="D18" t="s">
        <v>32</v>
      </c>
      <c r="E18" s="7">
        <f>0.66*E9/E11</f>
        <v>40853.965679999994</v>
      </c>
    </row>
    <row r="20" spans="1:9" x14ac:dyDescent="0.3">
      <c r="A20" s="22" t="s">
        <v>59</v>
      </c>
      <c r="B20">
        <f>SUM(B21:B25)</f>
        <v>800</v>
      </c>
    </row>
    <row r="21" spans="1:9" x14ac:dyDescent="0.3">
      <c r="A21" t="s">
        <v>60</v>
      </c>
      <c r="B21" s="27">
        <v>800</v>
      </c>
      <c r="D21" s="12" t="s">
        <v>35</v>
      </c>
      <c r="E21" s="13">
        <f>ROUND(IF($E$11&lt;=0,0,
$E$11*(
MAX(MIN($E$18/$E$11,$H$3)-$G$3,0)*$I$3+
MAX(MIN($E$18/$E$11,$H$4)-$G$4,0)*$I$4+
MAX(MIN($E$18/$E$11,$H$5)-$G$5,0)*$I$5+
MAX(MIN($E$18/$E$11,$H$6)-$G$6,0)*$I$6+
MAX(MIN($E$18/$E$11,$H$7)-$G$7,0)*$I$7
)
),0)</f>
        <v>5850</v>
      </c>
    </row>
    <row r="22" spans="1:9" x14ac:dyDescent="0.3">
      <c r="A22" t="s">
        <v>61</v>
      </c>
      <c r="B22" s="27"/>
      <c r="D22" s="14" t="s">
        <v>37</v>
      </c>
      <c r="E22" s="15">
        <f>ROUND(MAX($E$9,0)*$B$13,0)</f>
        <v>13618</v>
      </c>
    </row>
    <row r="23" spans="1:9" x14ac:dyDescent="0.3">
      <c r="A23" t="s">
        <v>62</v>
      </c>
      <c r="B23" s="27"/>
      <c r="D23" s="16" t="s">
        <v>39</v>
      </c>
      <c r="E23" s="2">
        <f>+E22+E21</f>
        <v>19468</v>
      </c>
    </row>
    <row r="24" spans="1:9" x14ac:dyDescent="0.3">
      <c r="A24" t="s">
        <v>63</v>
      </c>
      <c r="B24" s="27"/>
      <c r="E24" s="7"/>
    </row>
    <row r="25" spans="1:9" x14ac:dyDescent="0.3">
      <c r="A25" t="s">
        <v>64</v>
      </c>
      <c r="B25" s="27"/>
      <c r="D25" s="12" t="s">
        <v>42</v>
      </c>
      <c r="E25" s="13">
        <f>IF($E$11&lt;=0,0,
ROUND(
$E$11*(
MAX(MIN((E12-E26)/$E$11,$H$3)-$G$3,0)*$I$3+
MAX(MIN((E12-E26)/$E$11,$H$4)-$G$4,0)*$I$4+
MAX(MIN((E12-E26)/$E$11,$H$5)-$G$5,0)*$I$5+
MAX(MIN((E12-E26)/$E$11,$H$6)-$G$6,0)*$I$6+
MAX(MIN((E12-E26)/$E$11,$H$7)-$G$7,0)*$I$7
),0))</f>
        <v>3792</v>
      </c>
    </row>
    <row r="26" spans="1:9" x14ac:dyDescent="0.3">
      <c r="D26" s="17" t="s">
        <v>43</v>
      </c>
      <c r="E26" s="18">
        <f>IF($E$12&lt;=0,0,
ROUND(
$E$12 * INDEX($I$13:$I$17, MATCH($E$12, $G$13:$G$17, 1)),
0))</f>
        <v>18305</v>
      </c>
    </row>
    <row r="27" spans="1:9" x14ac:dyDescent="0.3">
      <c r="A27" s="22" t="s">
        <v>65</v>
      </c>
      <c r="B27">
        <f>SUM(B28:B31)</f>
        <v>0</v>
      </c>
      <c r="D27" s="16" t="s">
        <v>44</v>
      </c>
      <c r="E27" s="2">
        <f>+E26+E25</f>
        <v>22097</v>
      </c>
    </row>
    <row r="28" spans="1:9" x14ac:dyDescent="0.3">
      <c r="A28" t="s">
        <v>66</v>
      </c>
      <c r="B28" s="27"/>
    </row>
    <row r="29" spans="1:9" x14ac:dyDescent="0.3">
      <c r="A29" t="s">
        <v>67</v>
      </c>
      <c r="B29" s="27"/>
      <c r="D29" t="s">
        <v>47</v>
      </c>
      <c r="E29" s="13">
        <f>+IF(E23=0,E27,IF(E25+E26&lt;E21+E22,E25+E26,E21+E22))</f>
        <v>19468</v>
      </c>
    </row>
    <row r="30" spans="1:9" x14ac:dyDescent="0.3">
      <c r="A30" t="s">
        <v>68</v>
      </c>
      <c r="B30" s="27"/>
    </row>
    <row r="31" spans="1:9" x14ac:dyDescent="0.3">
      <c r="A31" t="s">
        <v>69</v>
      </c>
      <c r="B31" s="27"/>
      <c r="D31" s="16" t="s">
        <v>48</v>
      </c>
      <c r="E31" t="str">
        <f>IF(E9&gt;77700,"Régime BNC réel OBLIGATOIRE",IF(E29=E23,"Micro BNC","Régime BNC réel favorable"))</f>
        <v>Micro BNC</v>
      </c>
    </row>
    <row r="32" spans="1:9" x14ac:dyDescent="0.3">
      <c r="D32" t="s">
        <v>49</v>
      </c>
      <c r="E32" s="19">
        <f>+IF(E31="Micro BNC",E23,E27)</f>
        <v>19468</v>
      </c>
    </row>
    <row r="33" spans="1:5" x14ac:dyDescent="0.3">
      <c r="A33" s="22" t="s">
        <v>53</v>
      </c>
      <c r="B33">
        <f>SUM(B34:B38)</f>
        <v>0</v>
      </c>
    </row>
    <row r="34" spans="1:5" x14ac:dyDescent="0.3">
      <c r="A34" t="s">
        <v>54</v>
      </c>
      <c r="B34" s="27"/>
      <c r="D34" s="16" t="s">
        <v>50</v>
      </c>
      <c r="E34" s="2">
        <f>+E12-E32</f>
        <v>32831.947999999989</v>
      </c>
    </row>
    <row r="35" spans="1:5" x14ac:dyDescent="0.3">
      <c r="A35" t="s">
        <v>55</v>
      </c>
      <c r="B35" s="27"/>
      <c r="D35" s="16" t="s">
        <v>51</v>
      </c>
      <c r="E35" s="2">
        <f>+E34/12</f>
        <v>2735.9956666666658</v>
      </c>
    </row>
    <row r="36" spans="1:5" x14ac:dyDescent="0.3">
      <c r="A36" t="s">
        <v>56</v>
      </c>
      <c r="B36" s="27"/>
    </row>
    <row r="37" spans="1:5" x14ac:dyDescent="0.3">
      <c r="A37" t="s">
        <v>57</v>
      </c>
      <c r="B37" s="27"/>
    </row>
    <row r="38" spans="1:5" x14ac:dyDescent="0.3">
      <c r="A38" t="s">
        <v>58</v>
      </c>
      <c r="B38" s="27"/>
    </row>
    <row r="40" spans="1:5" x14ac:dyDescent="0.3">
      <c r="A40" s="22" t="s">
        <v>70</v>
      </c>
      <c r="B40">
        <f>SUM(B41:B44)</f>
        <v>0</v>
      </c>
    </row>
    <row r="41" spans="1:5" x14ac:dyDescent="0.3">
      <c r="A41" t="s">
        <v>71</v>
      </c>
      <c r="B41" s="27"/>
    </row>
    <row r="42" spans="1:5" x14ac:dyDescent="0.3">
      <c r="A42" t="s">
        <v>72</v>
      </c>
      <c r="B42" s="27"/>
    </row>
    <row r="43" spans="1:5" x14ac:dyDescent="0.3">
      <c r="A43" t="s">
        <v>73</v>
      </c>
      <c r="B43" s="27"/>
    </row>
    <row r="44" spans="1:5" x14ac:dyDescent="0.3">
      <c r="A44" t="s">
        <v>74</v>
      </c>
      <c r="B44" s="27"/>
    </row>
    <row r="46" spans="1:5" x14ac:dyDescent="0.3">
      <c r="A46" s="22" t="s">
        <v>75</v>
      </c>
      <c r="B46">
        <f>SUM(B47:B50)</f>
        <v>0</v>
      </c>
    </row>
    <row r="47" spans="1:5" x14ac:dyDescent="0.3">
      <c r="A47" t="s">
        <v>76</v>
      </c>
      <c r="B47" s="27"/>
    </row>
    <row r="48" spans="1:5" x14ac:dyDescent="0.3">
      <c r="A48" t="s">
        <v>77</v>
      </c>
      <c r="B48" s="27"/>
    </row>
    <row r="49" spans="1:2" x14ac:dyDescent="0.3">
      <c r="A49" t="s">
        <v>78</v>
      </c>
      <c r="B49" s="27"/>
    </row>
    <row r="50" spans="1:2" x14ac:dyDescent="0.3">
      <c r="A50" t="s">
        <v>79</v>
      </c>
      <c r="B50" s="27"/>
    </row>
    <row r="52" spans="1:2" x14ac:dyDescent="0.3">
      <c r="A52" s="22" t="s">
        <v>80</v>
      </c>
      <c r="B52">
        <f>SUM(B53:B56)</f>
        <v>0</v>
      </c>
    </row>
    <row r="53" spans="1:2" x14ac:dyDescent="0.3">
      <c r="A53" t="s">
        <v>81</v>
      </c>
      <c r="B53" s="27"/>
    </row>
    <row r="54" spans="1:2" x14ac:dyDescent="0.3">
      <c r="A54" t="s">
        <v>82</v>
      </c>
      <c r="B54" s="27"/>
    </row>
    <row r="55" spans="1:2" x14ac:dyDescent="0.3">
      <c r="A55" t="s">
        <v>83</v>
      </c>
      <c r="B55" s="27"/>
    </row>
    <row r="56" spans="1:2" x14ac:dyDescent="0.3">
      <c r="A56" t="s">
        <v>84</v>
      </c>
      <c r="B56" s="27"/>
    </row>
    <row r="58" spans="1:2" x14ac:dyDescent="0.3">
      <c r="A58" s="22" t="s">
        <v>85</v>
      </c>
      <c r="B58">
        <f>SUM(B59:B62)</f>
        <v>0</v>
      </c>
    </row>
    <row r="59" spans="1:2" x14ac:dyDescent="0.3">
      <c r="A59" t="s">
        <v>86</v>
      </c>
      <c r="B59" s="27"/>
    </row>
    <row r="60" spans="1:2" x14ac:dyDescent="0.3">
      <c r="A60" t="s">
        <v>87</v>
      </c>
      <c r="B60" s="27"/>
    </row>
    <row r="61" spans="1:2" x14ac:dyDescent="0.3">
      <c r="A61" t="s">
        <v>88</v>
      </c>
      <c r="B61" s="27"/>
    </row>
    <row r="62" spans="1:2" x14ac:dyDescent="0.3">
      <c r="A62" t="s">
        <v>89</v>
      </c>
      <c r="B62" s="27"/>
    </row>
    <row r="64" spans="1:2" x14ac:dyDescent="0.3">
      <c r="A64" s="22" t="s">
        <v>90</v>
      </c>
      <c r="B64">
        <f>SUM(B65:B68)</f>
        <v>0</v>
      </c>
    </row>
    <row r="65" spans="1:2" x14ac:dyDescent="0.3">
      <c r="A65" t="s">
        <v>91</v>
      </c>
      <c r="B65" s="27"/>
    </row>
    <row r="66" spans="1:2" x14ac:dyDescent="0.3">
      <c r="A66" t="s">
        <v>92</v>
      </c>
      <c r="B66" s="27"/>
    </row>
    <row r="67" spans="1:2" x14ac:dyDescent="0.3">
      <c r="A67" t="s">
        <v>93</v>
      </c>
      <c r="B67" s="27"/>
    </row>
    <row r="68" spans="1:2" x14ac:dyDescent="0.3">
      <c r="A68" t="s">
        <v>94</v>
      </c>
      <c r="B68" s="27"/>
    </row>
    <row r="70" spans="1:2" x14ac:dyDescent="0.3">
      <c r="A70" s="22" t="s">
        <v>95</v>
      </c>
      <c r="B70">
        <f>SUM(B71:B74)</f>
        <v>0</v>
      </c>
    </row>
    <row r="71" spans="1:2" x14ac:dyDescent="0.3">
      <c r="A71" t="s">
        <v>96</v>
      </c>
      <c r="B71" s="27"/>
    </row>
    <row r="72" spans="1:2" x14ac:dyDescent="0.3">
      <c r="A72" t="s">
        <v>97</v>
      </c>
      <c r="B72" s="27"/>
    </row>
    <row r="73" spans="1:2" x14ac:dyDescent="0.3">
      <c r="A73" t="s">
        <v>98</v>
      </c>
      <c r="B73" s="27"/>
    </row>
    <row r="74" spans="1:2" x14ac:dyDescent="0.3">
      <c r="A74" t="s">
        <v>99</v>
      </c>
      <c r="B74" s="27"/>
    </row>
    <row r="76" spans="1:2" x14ac:dyDescent="0.3">
      <c r="A76" s="22" t="s">
        <v>100</v>
      </c>
      <c r="B76">
        <f>SUM(B77:B80)</f>
        <v>0</v>
      </c>
    </row>
    <row r="77" spans="1:2" x14ac:dyDescent="0.3">
      <c r="A77" t="s">
        <v>101</v>
      </c>
      <c r="B77" s="27"/>
    </row>
    <row r="78" spans="1:2" x14ac:dyDescent="0.3">
      <c r="A78" t="s">
        <v>102</v>
      </c>
      <c r="B78" s="27"/>
    </row>
    <row r="79" spans="1:2" x14ac:dyDescent="0.3">
      <c r="A79" t="s">
        <v>103</v>
      </c>
      <c r="B79" s="27"/>
    </row>
    <row r="80" spans="1:2" x14ac:dyDescent="0.3">
      <c r="A80" t="s">
        <v>104</v>
      </c>
      <c r="B80" s="27"/>
    </row>
    <row r="83" spans="1:2" x14ac:dyDescent="0.3">
      <c r="A83" s="6" t="s">
        <v>33</v>
      </c>
      <c r="B83" s="31">
        <f>ROUNDDOWN((B4*60)/(B9*B5+(1-B9)*B7),0)</f>
        <v>22</v>
      </c>
    </row>
    <row r="84" spans="1:2" x14ac:dyDescent="0.3">
      <c r="A84" s="6" t="s">
        <v>34</v>
      </c>
      <c r="B84" s="31">
        <f>B3*B83</f>
        <v>66</v>
      </c>
    </row>
    <row r="85" spans="1:2" x14ac:dyDescent="0.3">
      <c r="A85" s="6" t="s">
        <v>36</v>
      </c>
      <c r="B85" s="31">
        <f>B84*B10</f>
        <v>62.699999999999996</v>
      </c>
    </row>
    <row r="86" spans="1:2" x14ac:dyDescent="0.3">
      <c r="A86" s="6" t="s">
        <v>38</v>
      </c>
      <c r="B86" s="31">
        <f>B85*(1-B11)</f>
        <v>59.564999999999991</v>
      </c>
    </row>
    <row r="87" spans="1:2" x14ac:dyDescent="0.3">
      <c r="A87" s="6" t="s">
        <v>40</v>
      </c>
      <c r="B87" s="31">
        <f>B86*B15</f>
        <v>257.91644999999994</v>
      </c>
    </row>
    <row r="88" spans="1:2" x14ac:dyDescent="0.3">
      <c r="A88" s="6" t="s">
        <v>41</v>
      </c>
      <c r="B88" s="28">
        <f>B9*B6+(1-B9)*B8</f>
        <v>30</v>
      </c>
    </row>
    <row r="89" spans="1:2" x14ac:dyDescent="0.3">
      <c r="A89" s="9" t="s">
        <v>10</v>
      </c>
      <c r="B89" s="29">
        <f>B87*B88+B14</f>
        <v>7737.4934999999987</v>
      </c>
    </row>
    <row r="90" spans="1:2" x14ac:dyDescent="0.3">
      <c r="A90" s="6" t="s">
        <v>18</v>
      </c>
      <c r="B90" s="30">
        <f>+B89*B16</f>
        <v>61899.947999999989</v>
      </c>
    </row>
    <row r="91" spans="1:2" x14ac:dyDescent="0.3">
      <c r="A91" s="6" t="s">
        <v>45</v>
      </c>
      <c r="B91" s="30">
        <f>+B12*12</f>
        <v>9600</v>
      </c>
    </row>
    <row r="92" spans="1:2" x14ac:dyDescent="0.3">
      <c r="A92" s="6" t="s">
        <v>46</v>
      </c>
      <c r="B92" s="30">
        <f>B90-B91</f>
        <v>52299.947999999989</v>
      </c>
    </row>
  </sheetData>
  <mergeCells count="3">
    <mergeCell ref="A1:E1"/>
    <mergeCell ref="G1:I1"/>
    <mergeCell ref="G11:I11"/>
  </mergeCells>
  <conditionalFormatting sqref="E31">
    <cfRule type="expression" dxfId="2" priority="1">
      <formula>EXACT($E$31,"Régime BNC réel OBLIGATOIRE")</formula>
    </cfRule>
    <cfRule type="expression" dxfId="1" priority="2">
      <formula>EXACT($E$31,"Régime BNC réel favorable")</formula>
    </cfRule>
    <cfRule type="expression" dxfId="0" priority="3">
      <formula>EXACT($E$31,"Micro BNC")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Simulation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Kyrian PRADOS</cp:lastModifiedBy>
  <dcterms:created xsi:type="dcterms:W3CDTF">2025-08-11T15:26:59Z</dcterms:created>
  <dcterms:modified xsi:type="dcterms:W3CDTF">2025-08-17T11:45:11Z</dcterms:modified>
</cp:coreProperties>
</file>